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 tabRatio="807"/>
  </bookViews>
  <sheets>
    <sheet name="Лист1" sheetId="1" r:id="rId1"/>
  </sheets>
  <definedNames>
    <definedName name="_xlnm._FilterDatabase" localSheetId="0" hidden="1">Лист1!$B$11:$B$133</definedName>
    <definedName name="Z_01103F3B_1332_4093_B57F_6650A7DBBBBF_.wvu.FilterData" localSheetId="0" hidden="1">Лист1!$B$11:$B$133</definedName>
    <definedName name="Z_346E1572_03B0_45DE_8A70_DADA57F5C395_.wvu.FilterData" localSheetId="0" hidden="1">Лист1!$B$11:$B$133</definedName>
    <definedName name="Z_38D1CC3F_51A4_4BBC_9A15_79589D08CD18_.wvu.FilterData" localSheetId="0" hidden="1">Лист1!$B$11:$B$133</definedName>
    <definedName name="Z_38D1CC3F_51A4_4BBC_9A15_79589D08CD18_.wvu.PrintArea" localSheetId="0" hidden="1">Лист1!$A$1:$P$134</definedName>
    <definedName name="Z_38D1CC3F_51A4_4BBC_9A15_79589D08CD18_.wvu.PrintTitles" localSheetId="0" hidden="1">Лист1!$7:$11</definedName>
    <definedName name="Z_38D1CC3F_51A4_4BBC_9A15_79589D08CD18_.wvu.Rows" localSheetId="0" hidden="1">Лист1!#REF!,Лист1!#REF!,Лист1!$141:$144,Лист1!$149:$153,Лист1!$158:$160</definedName>
    <definedName name="Z_396681B9_724F_4DAB_81F9_27C1FC08386D_.wvu.FilterData" localSheetId="0" hidden="1">Лист1!$B$11:$B$133</definedName>
    <definedName name="Z_396681B9_724F_4DAB_81F9_27C1FC08386D_.wvu.PrintArea" localSheetId="0" hidden="1">Лист1!$A$1:$P$133</definedName>
    <definedName name="Z_396681B9_724F_4DAB_81F9_27C1FC08386D_.wvu.PrintTitles" localSheetId="0" hidden="1">Лист1!$7:$11</definedName>
    <definedName name="Z_396681B9_724F_4DAB_81F9_27C1FC08386D_.wvu.Rows" localSheetId="0" hidden="1">Лист1!#REF!,Лист1!#REF!,Лист1!$141:$144,Лист1!$149:$153,Лист1!$158:$160</definedName>
    <definedName name="Z_465640CF_4A30_4CBE_9694_134E4F6DC5E7_.wvu.FilterData" localSheetId="0" hidden="1">Лист1!$B$11:$B$133</definedName>
    <definedName name="Z_465640CF_4A30_4CBE_9694_134E4F6DC5E7_.wvu.PrintArea" localSheetId="0" hidden="1">Лист1!$A$1:$P$134</definedName>
    <definedName name="Z_465640CF_4A30_4CBE_9694_134E4F6DC5E7_.wvu.PrintTitles" localSheetId="0" hidden="1">Лист1!$7:$11</definedName>
    <definedName name="Z_465640CF_4A30_4CBE_9694_134E4F6DC5E7_.wvu.Rows" localSheetId="0" hidden="1">Лист1!#REF!,Лист1!#REF!,Лист1!$141:$144,Лист1!$149:$153,Лист1!$158:$160</definedName>
    <definedName name="Z_D97EC1B7_648F_4C29_B394_E66A20209E53_.wvu.FilterData" localSheetId="0" hidden="1">Лист1!$B$11:$B$133</definedName>
    <definedName name="Z_D97EC1B7_648F_4C29_B394_E66A20209E53_.wvu.PrintArea" localSheetId="0" hidden="1">Лист1!$A$1:$P$133</definedName>
    <definedName name="Z_D97EC1B7_648F_4C29_B394_E66A20209E53_.wvu.PrintTitles" localSheetId="0" hidden="1">Лист1!$7:$11</definedName>
    <definedName name="Z_D97EC1B7_648F_4C29_B394_E66A20209E53_.wvu.Rows" localSheetId="0" hidden="1">Лист1!#REF!,Лист1!#REF!,Лист1!$141:$144,Лист1!$149:$153,Лист1!$158:$160</definedName>
    <definedName name="_xlnm.Print_Titles" localSheetId="0">Лист1!$7:$11</definedName>
    <definedName name="_xlnm.Print_Area" localSheetId="0">Лист1!$A$1:$P$133</definedName>
  </definedNames>
  <calcPr calcId="144525"/>
  <customWorkbookViews>
    <customWorkbookView name="zast - Личное представление" guid="{465640CF-4A30-4CBE-9694-134E4F6DC5E7}" mergeInterval="0" personalView="1" maximized="1" windowWidth="1020" windowHeight="570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zast - Personal View" guid="{38D1CC3F-51A4-4BBC-9A15-79589D08CD18}" mergeInterval="0" personalView="1" maximized="1" xWindow="1" yWindow="1" windowWidth="1020" windowHeight="686" activeSheetId="1"/>
  </customWorkbookViews>
</workbook>
</file>

<file path=xl/calcChain.xml><?xml version="1.0" encoding="utf-8"?>
<calcChain xmlns="http://schemas.openxmlformats.org/spreadsheetml/2006/main">
  <c r="K51" i="1" l="1"/>
  <c r="F51" i="1"/>
  <c r="K64" i="1" l="1"/>
  <c r="K57" i="1"/>
  <c r="K13" i="1"/>
  <c r="O52" i="1"/>
  <c r="J52" i="1"/>
  <c r="G87" i="1"/>
  <c r="F57" i="1"/>
  <c r="O95" i="1" l="1"/>
  <c r="F81" i="1" l="1"/>
  <c r="F22" i="1"/>
  <c r="F23" i="1"/>
  <c r="P15" i="1"/>
  <c r="E15" i="1"/>
  <c r="F15" i="1"/>
  <c r="J93" i="1"/>
  <c r="K93" i="1"/>
  <c r="O68" i="1"/>
  <c r="K68" i="1" s="1"/>
  <c r="K58" i="1"/>
  <c r="F127" i="1"/>
  <c r="F118" i="1"/>
  <c r="G118" i="1"/>
  <c r="G105" i="1"/>
  <c r="F105" i="1"/>
  <c r="F99" i="1"/>
  <c r="G99" i="1"/>
  <c r="F77" i="1"/>
  <c r="G77" i="1"/>
  <c r="F68" i="1"/>
  <c r="H66" i="1"/>
  <c r="G66" i="1"/>
  <c r="F66" i="1"/>
  <c r="F65" i="1"/>
  <c r="G65" i="1"/>
  <c r="E61" i="1"/>
  <c r="F61" i="1" s="1"/>
  <c r="F52" i="1"/>
  <c r="H51" i="1"/>
  <c r="F25" i="1"/>
  <c r="O15" i="1"/>
  <c r="K15" i="1"/>
  <c r="J15" i="1"/>
  <c r="P17" i="1"/>
  <c r="J17" i="1"/>
  <c r="O17" i="1"/>
  <c r="F17" i="1"/>
  <c r="F14" i="1"/>
  <c r="E14" i="1" s="1"/>
  <c r="P21" i="1" l="1"/>
  <c r="P20" i="1"/>
  <c r="P19" i="1"/>
  <c r="P18" i="1"/>
  <c r="H99" i="1" l="1"/>
  <c r="K65" i="1"/>
  <c r="O14" i="1"/>
  <c r="K14" i="1"/>
  <c r="H118" i="1"/>
  <c r="H105" i="1"/>
  <c r="F50" i="1" l="1"/>
  <c r="H14" i="1"/>
  <c r="H83" i="1" l="1"/>
  <c r="K89" i="1" l="1"/>
  <c r="K88" i="1"/>
  <c r="F128" i="1"/>
  <c r="F109" i="1"/>
  <c r="F108" i="1"/>
  <c r="F107" i="1"/>
  <c r="F104" i="1"/>
  <c r="F103" i="1"/>
  <c r="F93" i="1"/>
  <c r="F89" i="1"/>
  <c r="E88" i="1"/>
  <c r="F74" i="1"/>
  <c r="F69" i="1"/>
  <c r="H69" i="1"/>
  <c r="H68" i="1" s="1"/>
  <c r="F45" i="1"/>
  <c r="E48" i="1"/>
  <c r="P48" i="1" s="1"/>
  <c r="E27" i="1"/>
  <c r="P27" i="1" s="1"/>
  <c r="J89" i="1" l="1"/>
  <c r="O89" i="1"/>
  <c r="E89" i="1"/>
  <c r="P89" i="1" s="1"/>
  <c r="P60" i="1" l="1"/>
  <c r="P96" i="1"/>
  <c r="P75" i="1"/>
  <c r="O74" i="1" l="1"/>
  <c r="K81" i="1"/>
  <c r="J68" i="1"/>
  <c r="O56" i="1"/>
  <c r="P54" i="1"/>
  <c r="J54" i="1"/>
  <c r="O54" i="1"/>
  <c r="K53" i="1"/>
  <c r="E129" i="1"/>
  <c r="P129" i="1" s="1"/>
  <c r="F13" i="1"/>
  <c r="E60" i="1"/>
  <c r="J22" i="1"/>
  <c r="K22" i="1"/>
  <c r="O22" i="1"/>
  <c r="O23" i="1"/>
  <c r="K23" i="1"/>
  <c r="P94" i="1" l="1"/>
  <c r="O94" i="1"/>
  <c r="J94" i="1"/>
  <c r="O88" i="1"/>
  <c r="J88" i="1"/>
  <c r="P88" i="1" s="1"/>
  <c r="J81" i="1"/>
  <c r="O81" i="1"/>
  <c r="O65" i="1"/>
  <c r="J65" i="1"/>
  <c r="O58" i="1"/>
  <c r="P58" i="1" s="1"/>
  <c r="J58" i="1"/>
  <c r="F120" i="1"/>
  <c r="E96" i="1"/>
  <c r="G76" i="1"/>
  <c r="E74" i="1"/>
  <c r="P74" i="1" s="1"/>
  <c r="O64" i="1" l="1"/>
  <c r="J95" i="1"/>
  <c r="K95" i="1"/>
  <c r="P72" i="1"/>
  <c r="P73" i="1"/>
  <c r="J74" i="1"/>
  <c r="K74" i="1"/>
  <c r="P59" i="1"/>
  <c r="J59" i="1"/>
  <c r="K59" i="1"/>
  <c r="J56" i="1"/>
  <c r="K56" i="1"/>
  <c r="J51" i="1"/>
  <c r="J55" i="1"/>
  <c r="P55" i="1" s="1"/>
  <c r="K55" i="1"/>
  <c r="J53" i="1"/>
  <c r="J23" i="1"/>
  <c r="F124" i="1"/>
  <c r="F122" i="1"/>
  <c r="F121" i="1" s="1"/>
  <c r="F117" i="1" s="1"/>
  <c r="E128" i="1"/>
  <c r="P128" i="1" s="1"/>
  <c r="G115" i="1"/>
  <c r="F115" i="1"/>
  <c r="H92" i="1"/>
  <c r="F92" i="1"/>
  <c r="G69" i="1"/>
  <c r="F28" i="1"/>
  <c r="E30" i="1"/>
  <c r="E31" i="1"/>
  <c r="P31" i="1" s="1"/>
  <c r="E32" i="1"/>
  <c r="P32" i="1" s="1"/>
  <c r="F26" i="1"/>
  <c r="E20" i="1"/>
  <c r="E21" i="1"/>
  <c r="E17" i="1"/>
  <c r="E19" i="1"/>
  <c r="E18" i="1"/>
  <c r="E16" i="1"/>
  <c r="P95" i="1" l="1"/>
  <c r="J64" i="1"/>
  <c r="P56" i="1"/>
  <c r="O53" i="1"/>
  <c r="J99" i="1"/>
  <c r="P30" i="1"/>
  <c r="E29" i="1"/>
  <c r="P29" i="1" s="1"/>
  <c r="E49" i="1" l="1"/>
  <c r="F38" i="1"/>
  <c r="E127" i="1" l="1"/>
  <c r="E126" i="1"/>
  <c r="E125" i="1"/>
  <c r="E124" i="1"/>
  <c r="E123" i="1"/>
  <c r="E122" i="1"/>
  <c r="E120" i="1"/>
  <c r="E119" i="1"/>
  <c r="E118" i="1"/>
  <c r="O114" i="1"/>
  <c r="O113" i="1" s="1"/>
  <c r="N114" i="1"/>
  <c r="N113" i="1" s="1"/>
  <c r="M114" i="1"/>
  <c r="M113" i="1" s="1"/>
  <c r="L114" i="1"/>
  <c r="L113" i="1" s="1"/>
  <c r="K114" i="1"/>
  <c r="K113" i="1" s="1"/>
  <c r="J114" i="1"/>
  <c r="J113" i="1" s="1"/>
  <c r="I114" i="1"/>
  <c r="I113" i="1" s="1"/>
  <c r="H114" i="1"/>
  <c r="H113" i="1" s="1"/>
  <c r="G114" i="1"/>
  <c r="G113" i="1" s="1"/>
  <c r="F114" i="1"/>
  <c r="F113" i="1" s="1"/>
  <c r="E115" i="1"/>
  <c r="E114" i="1" s="1"/>
  <c r="E113" i="1" s="1"/>
  <c r="O98" i="1"/>
  <c r="N98" i="1"/>
  <c r="M98" i="1"/>
  <c r="L98" i="1"/>
  <c r="K98" i="1"/>
  <c r="J98" i="1"/>
  <c r="I98" i="1"/>
  <c r="H98" i="1"/>
  <c r="G98" i="1"/>
  <c r="E105" i="1"/>
  <c r="P105" i="1" s="1"/>
  <c r="P115" i="1" l="1"/>
  <c r="P114" i="1" s="1"/>
  <c r="P113" i="1" s="1"/>
  <c r="E121" i="1"/>
  <c r="E117" i="1" s="1"/>
  <c r="P117" i="1" s="1"/>
  <c r="F98" i="1"/>
  <c r="F97" i="1" s="1"/>
  <c r="E112" i="1"/>
  <c r="P112" i="1" s="1"/>
  <c r="E111" i="1"/>
  <c r="P111" i="1" s="1"/>
  <c r="E110" i="1"/>
  <c r="P110" i="1" s="1"/>
  <c r="E109" i="1"/>
  <c r="P109" i="1" s="1"/>
  <c r="E108" i="1"/>
  <c r="P108" i="1" s="1"/>
  <c r="E107" i="1"/>
  <c r="P107" i="1" s="1"/>
  <c r="E106" i="1"/>
  <c r="P106" i="1" s="1"/>
  <c r="E104" i="1"/>
  <c r="P104" i="1" s="1"/>
  <c r="E103" i="1"/>
  <c r="P103" i="1" s="1"/>
  <c r="E102" i="1"/>
  <c r="P102" i="1" s="1"/>
  <c r="E101" i="1"/>
  <c r="P101" i="1" s="1"/>
  <c r="E100" i="1"/>
  <c r="P100" i="1" s="1"/>
  <c r="E99" i="1"/>
  <c r="E92" i="1"/>
  <c r="O97" i="1"/>
  <c r="N97" i="1"/>
  <c r="M97" i="1"/>
  <c r="L97" i="1"/>
  <c r="K97" i="1"/>
  <c r="J97" i="1"/>
  <c r="I97" i="1"/>
  <c r="H97" i="1"/>
  <c r="G97" i="1"/>
  <c r="J91" i="1"/>
  <c r="E91" i="1"/>
  <c r="E90" i="1"/>
  <c r="P90" i="1" s="1"/>
  <c r="E87" i="1"/>
  <c r="E86" i="1"/>
  <c r="E85" i="1"/>
  <c r="P85" i="1" s="1"/>
  <c r="E84" i="1"/>
  <c r="P84" i="1" s="1"/>
  <c r="E83" i="1"/>
  <c r="P83" i="1" s="1"/>
  <c r="E81" i="1"/>
  <c r="P81" i="1" s="1"/>
  <c r="P64" i="1" s="1"/>
  <c r="E79" i="1"/>
  <c r="P79" i="1" s="1"/>
  <c r="E78" i="1"/>
  <c r="P78" i="1" s="1"/>
  <c r="E77" i="1"/>
  <c r="P77" i="1" s="1"/>
  <c r="E75" i="1"/>
  <c r="E71" i="1"/>
  <c r="E70" i="1"/>
  <c r="P70" i="1" s="1"/>
  <c r="E69" i="1"/>
  <c r="P69" i="1" s="1"/>
  <c r="E66" i="1"/>
  <c r="P66" i="1" s="1"/>
  <c r="E53" i="1"/>
  <c r="O51" i="1"/>
  <c r="J57" i="1"/>
  <c r="J13" i="1" s="1"/>
  <c r="E57" i="1"/>
  <c r="E52" i="1"/>
  <c r="E51" i="1"/>
  <c r="E50" i="1"/>
  <c r="E47" i="1"/>
  <c r="E46" i="1"/>
  <c r="E45" i="1"/>
  <c r="F44" i="1"/>
  <c r="E44" i="1" s="1"/>
  <c r="F42" i="1"/>
  <c r="E43" i="1"/>
  <c r="F40" i="1"/>
  <c r="E40" i="1" s="1"/>
  <c r="F39" i="1"/>
  <c r="E65" i="1" l="1"/>
  <c r="F41" i="1"/>
  <c r="E41" i="1" s="1"/>
  <c r="E42" i="1"/>
  <c r="P99" i="1"/>
  <c r="E98" i="1"/>
  <c r="P98" i="1" s="1"/>
  <c r="P53" i="1"/>
  <c r="P91" i="1"/>
  <c r="E38" i="1"/>
  <c r="F36" i="1"/>
  <c r="E36" i="1" s="1"/>
  <c r="E37" i="1"/>
  <c r="E34" i="1"/>
  <c r="F35" i="1"/>
  <c r="E35" i="1" s="1"/>
  <c r="E28" i="1"/>
  <c r="P28" i="1" s="1"/>
  <c r="E26" i="1"/>
  <c r="E23" i="1"/>
  <c r="P23" i="1" s="1"/>
  <c r="E25" i="1"/>
  <c r="F24" i="1"/>
  <c r="P97" i="1" l="1"/>
  <c r="E97" i="1"/>
  <c r="E22" i="1"/>
  <c r="P22" i="1" s="1"/>
  <c r="E24" i="1"/>
  <c r="P24" i="1" s="1"/>
  <c r="F33" i="1"/>
  <c r="E33" i="1" s="1"/>
  <c r="N22" i="1"/>
  <c r="N13" i="1" s="1"/>
  <c r="M22" i="1"/>
  <c r="M13" i="1" s="1"/>
  <c r="L22" i="1"/>
  <c r="L13" i="1" s="1"/>
  <c r="H67" i="1" l="1"/>
  <c r="G67" i="1"/>
  <c r="E67" i="1"/>
  <c r="P52" i="1"/>
  <c r="G14" i="1"/>
  <c r="I82" i="1" l="1"/>
  <c r="H82" i="1"/>
  <c r="G82" i="1"/>
  <c r="F73" i="1"/>
  <c r="P61" i="1" l="1"/>
  <c r="O57" i="1" l="1"/>
  <c r="O13" i="1" s="1"/>
  <c r="N68" i="1"/>
  <c r="M68" i="1"/>
  <c r="L68" i="1"/>
  <c r="I68" i="1"/>
  <c r="G68" i="1"/>
  <c r="G64" i="1" s="1"/>
  <c r="H71" i="1"/>
  <c r="I71" i="1"/>
  <c r="J71" i="1"/>
  <c r="K71" i="1"/>
  <c r="L71" i="1"/>
  <c r="M71" i="1"/>
  <c r="N71" i="1"/>
  <c r="O71" i="1"/>
  <c r="L12" i="1"/>
  <c r="K12" i="1"/>
  <c r="H117" i="1"/>
  <c r="G117" i="1"/>
  <c r="P126" i="1"/>
  <c r="P119" i="1"/>
  <c r="P92" i="1"/>
  <c r="P87" i="1"/>
  <c r="P86" i="1"/>
  <c r="P80" i="1"/>
  <c r="P67" i="1"/>
  <c r="P62" i="1"/>
  <c r="P57" i="1"/>
  <c r="P51" i="1"/>
  <c r="P50" i="1"/>
  <c r="P49" i="1"/>
  <c r="P47" i="1"/>
  <c r="P46" i="1"/>
  <c r="P44" i="1"/>
  <c r="P43" i="1"/>
  <c r="P42" i="1"/>
  <c r="P40" i="1"/>
  <c r="P37" i="1"/>
  <c r="P36" i="1"/>
  <c r="P35" i="1"/>
  <c r="P34" i="1"/>
  <c r="P26" i="1"/>
  <c r="P25" i="1"/>
  <c r="P16" i="1"/>
  <c r="K63" i="1" l="1"/>
  <c r="K130" i="1" s="1"/>
  <c r="I64" i="1"/>
  <c r="M64" i="1"/>
  <c r="M63" i="1" s="1"/>
  <c r="M130" i="1" s="1"/>
  <c r="N64" i="1"/>
  <c r="N63" i="1" s="1"/>
  <c r="N130" i="1" s="1"/>
  <c r="H64" i="1"/>
  <c r="L64" i="1"/>
  <c r="E68" i="1"/>
  <c r="I63" i="1"/>
  <c r="P71" i="1"/>
  <c r="F67" i="1"/>
  <c r="P68" i="1" l="1"/>
  <c r="P41" i="1"/>
  <c r="F80" i="1"/>
  <c r="F76" i="1" s="1"/>
  <c r="F64" i="1" s="1"/>
  <c r="P33" i="1"/>
  <c r="P45" i="1"/>
  <c r="I22" i="1"/>
  <c r="I13" i="1" s="1"/>
  <c r="H22" i="1"/>
  <c r="H13" i="1" s="1"/>
  <c r="G22" i="1"/>
  <c r="G13" i="1" s="1"/>
  <c r="I130" i="1" l="1"/>
  <c r="E76" i="1"/>
  <c r="P76" i="1" s="1"/>
  <c r="F82" i="1"/>
  <c r="E82" i="1" s="1"/>
  <c r="P82" i="1" s="1"/>
  <c r="H12" i="1"/>
  <c r="G12" i="1"/>
  <c r="P123" i="1" l="1"/>
  <c r="P124" i="1"/>
  <c r="P125" i="1"/>
  <c r="P127" i="1"/>
  <c r="P121" i="1" s="1"/>
  <c r="J116" i="1"/>
  <c r="G116" i="1"/>
  <c r="H116" i="1"/>
  <c r="P118" i="1"/>
  <c r="O12" i="1" l="1"/>
  <c r="P120" i="1"/>
  <c r="F116" i="1"/>
  <c r="P122" i="1" l="1"/>
  <c r="E116" i="1" l="1"/>
  <c r="P116" i="1" l="1"/>
  <c r="O63" i="1" l="1"/>
  <c r="O130" i="1" s="1"/>
  <c r="L63" i="1" l="1"/>
  <c r="L130" i="1" s="1"/>
  <c r="H63" i="1" l="1"/>
  <c r="H130" i="1" s="1"/>
  <c r="J14" i="1" l="1"/>
  <c r="J12" i="1" l="1"/>
  <c r="P14" i="1"/>
  <c r="P65" i="1"/>
  <c r="G63" i="1"/>
  <c r="G130" i="1" s="1"/>
  <c r="J63" i="1" l="1"/>
  <c r="P38" i="1"/>
  <c r="E39" i="1"/>
  <c r="E13" i="1" s="1"/>
  <c r="J130" i="1" l="1"/>
  <c r="F12" i="1"/>
  <c r="P39" i="1"/>
  <c r="P13" i="1" s="1"/>
  <c r="E12" i="1" l="1"/>
  <c r="P12" i="1"/>
  <c r="E93" i="1"/>
  <c r="E64" i="1" s="1"/>
  <c r="P93" i="1" l="1"/>
  <c r="E63" i="1"/>
  <c r="P63" i="1" s="1"/>
  <c r="F63" i="1"/>
  <c r="F130" i="1" s="1"/>
  <c r="E130" i="1" l="1"/>
  <c r="P130" i="1"/>
</calcChain>
</file>

<file path=xl/sharedStrings.xml><?xml version="1.0" encoding="utf-8"?>
<sst xmlns="http://schemas.openxmlformats.org/spreadsheetml/2006/main" count="340" uniqueCount="243">
  <si>
    <t>оплата праці</t>
  </si>
  <si>
    <t>комунальні послуги та енергоносії</t>
  </si>
  <si>
    <t>Разом</t>
  </si>
  <si>
    <t>видатки споживання</t>
  </si>
  <si>
    <t>видатки розвитку</t>
  </si>
  <si>
    <t>0111</t>
  </si>
  <si>
    <t>16=5+10</t>
  </si>
  <si>
    <t>0828</t>
  </si>
  <si>
    <t>0990</t>
  </si>
  <si>
    <t>0910</t>
  </si>
  <si>
    <t>0620</t>
  </si>
  <si>
    <t>0180</t>
  </si>
  <si>
    <t>Загальний фонд</t>
  </si>
  <si>
    <t>Спеціальний фонд</t>
  </si>
  <si>
    <t>0110000</t>
  </si>
  <si>
    <t>1010</t>
  </si>
  <si>
    <t>1030</t>
  </si>
  <si>
    <t>1090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</si>
  <si>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</si>
  <si>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0921</t>
  </si>
  <si>
    <t>0960</t>
  </si>
  <si>
    <t>0110150</t>
  </si>
  <si>
    <t>0150</t>
  </si>
  <si>
    <t>0113191</t>
  </si>
  <si>
    <t>3191</t>
  </si>
  <si>
    <t>0113242</t>
  </si>
  <si>
    <t>3242</t>
  </si>
  <si>
    <t>Інші заходи у сфері соціального захисту і соціального забезпечення</t>
  </si>
  <si>
    <t>0116030</t>
  </si>
  <si>
    <t>6030</t>
  </si>
  <si>
    <t>Організація благоустрою населених пунктів</t>
  </si>
  <si>
    <t>9770</t>
  </si>
  <si>
    <t>0118110</t>
  </si>
  <si>
    <t>8110</t>
  </si>
  <si>
    <t>0320</t>
  </si>
  <si>
    <t>0610160</t>
  </si>
  <si>
    <t>0160</t>
  </si>
  <si>
    <t>0611010</t>
  </si>
  <si>
    <t>4060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</si>
  <si>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</si>
  <si>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</si>
  <si>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</si>
  <si>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</si>
  <si>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</si>
  <si>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</si>
  <si>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</si>
  <si>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з них</t>
  </si>
  <si>
    <t xml:space="preserve">       (грн)</t>
  </si>
  <si>
    <t>УСЬОГО:</t>
  </si>
  <si>
    <t>х</t>
  </si>
  <si>
    <t>0100000</t>
  </si>
  <si>
    <t>0600000</t>
  </si>
  <si>
    <t>Додаток 3</t>
  </si>
  <si>
    <t xml:space="preserve">з них 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</si>
  <si>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</si>
  <si>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3031</t>
  </si>
  <si>
    <t>0113032</t>
  </si>
  <si>
    <t>3032</t>
  </si>
  <si>
    <t>0113180</t>
  </si>
  <si>
    <t>3180</t>
  </si>
  <si>
    <t>3035</t>
  </si>
  <si>
    <t>Надання інших пільг окремим категоріям громадян відповідно до законодавства</t>
  </si>
  <si>
    <t>1060</t>
  </si>
  <si>
    <t>1070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</si>
  <si>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</si>
  <si>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</si>
  <si>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</si>
  <si>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3090</t>
  </si>
  <si>
    <t>0113171</t>
  </si>
  <si>
    <t>3171</t>
  </si>
  <si>
    <t>3050</t>
  </si>
  <si>
    <t>9430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</si>
  <si>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</si>
  <si>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за пільговий проїзд  окремих категорій громадян на залізничному транспорті</t>
  </si>
  <si>
    <t>Видатки на поховання учасників бойових дій та осіб з інвалідністю внаслідок війни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</si>
  <si>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</si>
  <si>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</si>
  <si>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</si>
  <si>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1080</t>
  </si>
  <si>
    <t>1141</t>
  </si>
  <si>
    <t>1142</t>
  </si>
  <si>
    <t>0611080</t>
  </si>
  <si>
    <t>0611141</t>
  </si>
  <si>
    <t>0611142</t>
  </si>
  <si>
    <t>0611021</t>
  </si>
  <si>
    <t>1021</t>
  </si>
  <si>
    <t>0611031</t>
  </si>
  <si>
    <t>1031</t>
  </si>
  <si>
    <t>Пільгове медичне обслуговування осіб, які постраждали внаслідок Чорнобильської катастрофи</t>
  </si>
  <si>
    <t>3700000</t>
  </si>
  <si>
    <t>3710000</t>
  </si>
  <si>
    <t>3710160</t>
  </si>
  <si>
    <t>3719430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</si>
  <si>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</si>
  <si>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</si>
  <si>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</si>
  <si>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</si>
  <si>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</si>
  <si>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0726</t>
  </si>
  <si>
    <t>2111</t>
  </si>
  <si>
    <t xml:space="preserve">субвенція з бюджету Первомайської селищної ради </t>
  </si>
  <si>
    <t>сільський бюджет</t>
  </si>
  <si>
    <t>0112152</t>
  </si>
  <si>
    <t>0763</t>
  </si>
  <si>
    <t>2152</t>
  </si>
  <si>
    <t>0611152</t>
  </si>
  <si>
    <t>1151</t>
  </si>
  <si>
    <t>1152</t>
  </si>
  <si>
    <t>Забезпечення діяльності інклюзивно-ресурсних центрів за рахунок освітньої субвенції</t>
  </si>
  <si>
    <t>3192</t>
  </si>
  <si>
    <t>0110180</t>
  </si>
  <si>
    <t>0133</t>
  </si>
  <si>
    <t>субвенція з обласного бюджету на надання щомісячної матеріальної допомоги учасникам бойових дій  у роки Другої світової війни</t>
  </si>
  <si>
    <t xml:space="preserve">субвенція з обласного бюджету на надання  матеріальної допомоги сім"ям  загиблих та померлих учасників бойових дій на території інших країн, особам з інвалідністю внаслідок війни на території інших країн </t>
  </si>
  <si>
    <t xml:space="preserve">субвенція з обласного бюджету на надання  матеріальної допомоги сім"ям  загиблих та померлих учасників АТО/ООС на Сході України, сім"ям осіб, які загинули або померли внаслідок поранень, калицтва, контузії чи інших пошкодженя здоров"я, одержаних під ча участи у Революції Гідності </t>
  </si>
  <si>
    <t>6013</t>
  </si>
  <si>
    <t>0116013</t>
  </si>
  <si>
    <t>Забезпечення діяльності водопровідно-каналізаційного господарства</t>
  </si>
  <si>
    <t>0117370</t>
  </si>
  <si>
    <t>7370</t>
  </si>
  <si>
    <t>0490</t>
  </si>
  <si>
    <t>0118340</t>
  </si>
  <si>
    <t>8340</t>
  </si>
  <si>
    <t>0540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</si>
  <si>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</si>
  <si>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</si>
  <si>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Надання спеціальної освіти містецькими школами</t>
  </si>
  <si>
    <t>Забезпечення діяльності палаців і будинків культури, клубів, центрів дозвілля та інших клубних заходів</t>
  </si>
  <si>
    <t>0614082</t>
  </si>
  <si>
    <t>0829</t>
  </si>
  <si>
    <t>4082</t>
  </si>
  <si>
    <t>Інші заходи в галузі культури і містецтва</t>
  </si>
  <si>
    <t>3719110</t>
  </si>
  <si>
    <t>9110</t>
  </si>
  <si>
    <t>Реверсна дотація</t>
  </si>
  <si>
    <t>Андрій БОТАНІН</t>
  </si>
  <si>
    <t>1200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</si>
  <si>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</si>
  <si>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</si>
  <si>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освітня субвенція з Державного бюджету місцевим бюджетам</t>
  </si>
  <si>
    <t>0113192</t>
  </si>
  <si>
    <t>0614060</t>
  </si>
  <si>
    <t>Сільський голова</t>
  </si>
  <si>
    <t>бюджет Мішково-Погорілівської
сільської територіальної громади</t>
  </si>
  <si>
    <t>субвенція з бюджетиу Воскресенської селищної територіальної громади</t>
  </si>
  <si>
    <t>субвенція з бюджету Шевченківської сільської територіальної громади</t>
  </si>
  <si>
    <t>субвенція з бюджету Первомайської селищної територіальної громади</t>
  </si>
  <si>
    <t>субвенція з бюджету Шевченківської територіальної громади</t>
  </si>
  <si>
    <t>Інші видатки на соціальний захист ветеранів війни та праці, в т.ч. за рахунок</t>
  </si>
  <si>
    <t>Надання фінансової підтримки громадським об'єднанням ветеранів і осіб з інвалідністю, діяльність яких має соціальну спрямованість, в т.ч. за рахунок</t>
  </si>
  <si>
    <t>0611151</t>
  </si>
  <si>
    <t>УТОЧНЕНИЙ РОЗПОДІЛ
видатків бюджету  Мішково-Погорілівської сільської територіальної громади на 2021 рік</t>
  </si>
  <si>
    <t>0117130</t>
  </si>
  <si>
    <t>7130</t>
  </si>
  <si>
    <t>0421</t>
  </si>
  <si>
    <t>Здійснення заходів із землеустрою</t>
  </si>
  <si>
    <t>субвенція з бюджету Воскресенської селищної територіальної громади</t>
  </si>
  <si>
    <t>Інші програми та заходи у сфері охорони здоров"я                                                      в т.ч. за рахунок:</t>
  </si>
  <si>
    <t>Забезпечення діяльності інклюзивно-ресурсних центрів за рахунок коштів місцевого бюджету                                            в т.ч. за рахунок:</t>
  </si>
  <si>
    <t>Інші субвенції з місцевого бюджету                           в т. ч за рахунок:</t>
  </si>
  <si>
    <t>до рішення Мішково-Погорілівської сільської ради "Про внесення змін до бюджету Мішково-Погорілівської сільської територіальної громади на 2021рік"</t>
  </si>
  <si>
    <t>Субвенція до  бюджету Миколаївського району на утримання Об"єднаного трудового архіву сільських, селищних рад  Вітовського району</t>
  </si>
  <si>
    <t xml:space="preserve">субвенція до бюджету Галицинівської сільської ради на утримання ГО Місцевий осередок ВОІ СОІУ </t>
  </si>
  <si>
    <t xml:space="preserve">Субвенція до бюджету Воскресенської селищної ради на утримання Вітовського загону місцевої пожежної охорони </t>
  </si>
  <si>
    <t xml:space="preserve">Субвенція до бюджету Миколаївського району Територіальному центру соціального обслуговування населення на утримання  підопічних Шевченківського відділення стаціонарного догляду для постійного або тимчасового проживання  </t>
  </si>
  <si>
    <t xml:space="preserve">Субвенція до бюджету Галицинівської сільської ради на утримання апарату управління та фахівця по спорту ВФСТ "Колос", проведення спортивних заходів </t>
  </si>
  <si>
    <t>дотація на здійснення видатків з утримання закладів освіти та охорони здоров"я за рахунок додаткової дотації з Державного бюджету.</t>
  </si>
  <si>
    <t>0112142</t>
  </si>
  <si>
    <t>2142</t>
  </si>
  <si>
    <t>Програми і централізовані заходи боротьбі з туберкульозом</t>
  </si>
  <si>
    <t>0117324</t>
  </si>
  <si>
    <t>7324</t>
  </si>
  <si>
    <t>0443</t>
  </si>
  <si>
    <t>Будівництво установ та закладів культури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</si>
  <si>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</si>
  <si>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</si>
  <si>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</si>
  <si>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0810000</t>
  </si>
  <si>
    <t>Відділ соціального захисту населення Мішково-Погорілівської сільської ради</t>
  </si>
  <si>
    <t>0800000</t>
  </si>
  <si>
    <t>0810160</t>
  </si>
  <si>
    <t>0813160</t>
  </si>
  <si>
    <t>3160</t>
  </si>
  <si>
    <t>0813171</t>
  </si>
  <si>
    <t>0813180</t>
  </si>
  <si>
    <t>0813191</t>
  </si>
  <si>
    <t>0813031</t>
  </si>
  <si>
    <t>0813032</t>
  </si>
  <si>
    <t>0813035</t>
  </si>
  <si>
    <t>0813050</t>
  </si>
  <si>
    <t>0813090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</si>
  <si>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</si>
  <si>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</si>
  <si>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</si>
  <si>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зв"язку з похилим віком, хворобою, інвалідністю</t>
  </si>
  <si>
    <t>0900000</t>
  </si>
  <si>
    <t>0910000</t>
  </si>
  <si>
    <t>Служба у справах дітей Мішково-Погорілівської сільської ради</t>
  </si>
  <si>
    <t>0910160</t>
  </si>
  <si>
    <t>Начальник фінансового відділу</t>
  </si>
  <si>
    <t>Віта СУРІНА</t>
  </si>
  <si>
    <t>Первинна медична допомога населенню, що надається центрами первинної медичної (медико-санітарної) допомоги в т.ч. за рахунок:</t>
  </si>
  <si>
    <t>Надання загальної середньої освіти закладами загальної середньої освіти  в т.ч. за рахунок:</t>
  </si>
  <si>
    <t>Забезпечення діяльності інших закладів у сфері освіти в т.ч. за рахунок:</t>
  </si>
  <si>
    <t>Субвенція до бюджету Галицинівської сільської ради  на утримання сільських бібліотек та адмінперсоналу СКЗ Вітовська публічна бібліотека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</si>
  <si>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</si>
  <si>
    <t>субвенція з бюджету Галицинівської  сільської територіальної громади</t>
  </si>
  <si>
    <t xml:space="preserve">Інша діяльність у сфері державного управління в т.ч. за рахунок </t>
  </si>
  <si>
    <t>0117350</t>
  </si>
  <si>
    <t>7350</t>
  </si>
  <si>
    <t>Заходи із запобігання та ликвідації надзвичайних ситуацій та наслідків стихійного лиха</t>
  </si>
  <si>
    <t>Розроблення схем планування та забудови територій (містобудівної документації)</t>
  </si>
  <si>
    <t>0117363</t>
  </si>
  <si>
    <t>7363</t>
  </si>
  <si>
    <t>0117670</t>
  </si>
  <si>
    <t>7670</t>
  </si>
  <si>
    <t>Внески до статутного капіталу суб"єктів господарювання</t>
  </si>
  <si>
    <t>0611061</t>
  </si>
  <si>
    <t>1061</t>
  </si>
  <si>
    <t>0617363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</si>
  <si>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</si>
  <si>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0617370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</si>
  <si>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</si>
  <si>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</si>
  <si>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</si>
  <si>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</si>
  <si>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</si>
  <si>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</si>
  <si>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 та доступної загальної середньої освіти "Нова українська школа" за рахунок субвенції з державного бюджету місцевим бюджетам</t>
  </si>
  <si>
    <t>0617325</t>
  </si>
  <si>
    <t>Будівництво споруд, установ та закладів фізичної культури і спорту</t>
  </si>
  <si>
    <t>Субвенція до бюджету Шевченківської сільської ради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</si>
  <si>
    <t>0117680</t>
  </si>
  <si>
    <t>7680</t>
  </si>
  <si>
    <t>Членські внески до асоціацій органів місцевого самоврядування</t>
  </si>
  <si>
    <t>3719800</t>
  </si>
  <si>
    <t xml:space="preserve">Субвенція з місцевого бюджету державному бюджету на виконання програм соціально-економічного розвитку регіонів     </t>
  </si>
  <si>
    <t>0117325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</si>
  <si>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</si>
  <si>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</si>
  <si>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 xml:space="preserve">субвенція з обласного бюджету місцевим бюджетам на здійснення заходів щодо соціально-економічного розвитку територіальних громад Миколаївської області у 2021 році </t>
  </si>
  <si>
    <t>"Надання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допомоги"</t>
  </si>
  <si>
    <t>ХІІІ позачергова сесія 8 скликання від  09.11.2021 року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</si>
</sst>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0000"/>
    <numFmt numFmtId="167" formatCode="#,##0_ ;\-#,##0\ "/>
    <numFmt numFmtId="168" formatCode="#,##0.00_ ;\-#,##0.00\ "/>
  </numFmts>
  <fonts count="2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>
      <alignment vertical="top"/>
    </xf>
    <xf numFmtId="164" fontId="15" fillId="0" borderId="0" applyFont="0" applyFill="0" applyBorder="0" applyAlignment="0" applyProtection="0"/>
    <xf numFmtId="0" fontId="1" fillId="0" borderId="0"/>
  </cellStyleXfs>
  <cellXfs count="3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2" fontId="10" fillId="0" borderId="0" xfId="0" applyNumberFormat="1" applyFont="1"/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49" fontId="9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5" fontId="10" fillId="0" borderId="0" xfId="0" applyNumberFormat="1" applyFont="1"/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2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Fill="1"/>
    <xf numFmtId="0" fontId="20" fillId="2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2" fontId="5" fillId="0" borderId="0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165" fontId="10" fillId="0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Alignment="1">
      <alignment horizontal="right"/>
    </xf>
    <xf numFmtId="167" fontId="3" fillId="0" borderId="0" xfId="0" applyNumberFormat="1" applyFont="1"/>
    <xf numFmtId="0" fontId="21" fillId="0" borderId="0" xfId="0" applyFont="1"/>
    <xf numFmtId="0" fontId="21" fillId="0" borderId="0" xfId="0" applyFont="1" applyFill="1"/>
    <xf numFmtId="0" fontId="10" fillId="0" borderId="0" xfId="0" applyFont="1"/>
    <xf numFmtId="0" fontId="10" fillId="0" borderId="48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8" xfId="0" applyFont="1" applyBorder="1" applyAlignment="1" applyProtection="1">
      <alignment horizontal="center"/>
      <protection locked="0"/>
    </xf>
    <xf numFmtId="0" fontId="10" fillId="0" borderId="37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3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67" fontId="10" fillId="2" borderId="3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 wrapText="1"/>
    </xf>
    <xf numFmtId="167" fontId="10" fillId="2" borderId="19" xfId="2" applyNumberFormat="1" applyFont="1" applyFill="1" applyBorder="1" applyAlignment="1">
      <alignment horizontal="center" vertical="center" wrapText="1"/>
    </xf>
    <xf numFmtId="49" fontId="10" fillId="2" borderId="44" xfId="0" applyNumberFormat="1" applyFont="1" applyFill="1" applyBorder="1" applyAlignment="1">
      <alignment horizontal="center" vertical="center"/>
    </xf>
    <xf numFmtId="49" fontId="10" fillId="2" borderId="35" xfId="0" applyNumberFormat="1" applyFont="1" applyFill="1" applyBorder="1" applyAlignment="1">
      <alignment horizontal="center" vertical="center" wrapText="1"/>
    </xf>
    <xf numFmtId="1" fontId="10" fillId="2" borderId="33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/>
    <xf numFmtId="49" fontId="10" fillId="0" borderId="0" xfId="0" applyNumberFormat="1" applyFont="1" applyFill="1" applyAlignment="1">
      <alignment horizontal="center" vertical="justify" wrapText="1"/>
    </xf>
    <xf numFmtId="165" fontId="10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horizontal="right" wrapText="1"/>
    </xf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10" fillId="2" borderId="52" xfId="0" applyFont="1" applyFill="1" applyBorder="1" applyAlignment="1">
      <alignment horizontal="left" vertical="center" wrapText="1"/>
    </xf>
    <xf numFmtId="167" fontId="10" fillId="2" borderId="27" xfId="2" applyNumberFormat="1" applyFont="1" applyFill="1" applyBorder="1" applyAlignment="1">
      <alignment horizontal="center" vertical="center" wrapText="1"/>
    </xf>
    <xf numFmtId="167" fontId="10" fillId="2" borderId="27" xfId="2" applyNumberFormat="1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167" fontId="10" fillId="2" borderId="46" xfId="2" applyNumberFormat="1" applyFont="1" applyFill="1" applyBorder="1" applyAlignment="1">
      <alignment horizontal="center" vertical="center" wrapText="1"/>
    </xf>
    <xf numFmtId="167" fontId="10" fillId="2" borderId="41" xfId="2" applyNumberFormat="1" applyFont="1" applyFill="1" applyBorder="1" applyAlignment="1">
      <alignment horizontal="center" vertical="center" wrapText="1"/>
    </xf>
    <xf numFmtId="167" fontId="10" fillId="2" borderId="6" xfId="2" applyNumberFormat="1" applyFont="1" applyFill="1" applyBorder="1" applyAlignment="1">
      <alignment horizontal="center" vertical="center" wrapText="1"/>
    </xf>
    <xf numFmtId="1" fontId="10" fillId="2" borderId="46" xfId="0" applyNumberFormat="1" applyFont="1" applyFill="1" applyBorder="1" applyAlignment="1">
      <alignment horizontal="center" vertical="center" wrapText="1"/>
    </xf>
    <xf numFmtId="1" fontId="10" fillId="2" borderId="41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49" fontId="10" fillId="2" borderId="33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 wrapText="1"/>
    </xf>
    <xf numFmtId="1" fontId="5" fillId="2" borderId="21" xfId="0" applyNumberFormat="1" applyFont="1" applyFill="1" applyBorder="1" applyAlignment="1">
      <alignment horizontal="center" vertical="center"/>
    </xf>
    <xf numFmtId="2" fontId="10" fillId="2" borderId="33" xfId="0" applyNumberFormat="1" applyFont="1" applyFill="1" applyBorder="1" applyAlignment="1">
      <alignment horizontal="center" vertical="center" wrapText="1"/>
    </xf>
    <xf numFmtId="2" fontId="10" fillId="2" borderId="27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justify" wrapText="1"/>
    </xf>
    <xf numFmtId="1" fontId="10" fillId="2" borderId="33" xfId="0" applyNumberFormat="1" applyFont="1" applyFill="1" applyBorder="1" applyAlignment="1">
      <alignment horizontal="center" vertical="justify" wrapText="1"/>
    </xf>
    <xf numFmtId="1" fontId="10" fillId="2" borderId="21" xfId="0" applyNumberFormat="1" applyFont="1" applyFill="1" applyBorder="1" applyAlignment="1">
      <alignment horizontal="center" vertical="justify" wrapText="1"/>
    </xf>
    <xf numFmtId="168" fontId="10" fillId="2" borderId="21" xfId="2" applyNumberFormat="1" applyFont="1" applyFill="1" applyBorder="1" applyAlignment="1">
      <alignment horizontal="center" vertical="center" wrapText="1"/>
    </xf>
    <xf numFmtId="2" fontId="10" fillId="2" borderId="21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3" xfId="0" applyNumberFormat="1" applyFont="1" applyFill="1" applyBorder="1" applyAlignment="1">
      <alignment horizontal="center" vertical="center" wrapText="1"/>
    </xf>
    <xf numFmtId="165" fontId="10" fillId="2" borderId="21" xfId="0" applyNumberFormat="1" applyFont="1" applyFill="1" applyBorder="1" applyAlignment="1">
      <alignment horizontal="center" vertical="center" wrapText="1"/>
    </xf>
    <xf numFmtId="167" fontId="10" fillId="2" borderId="33" xfId="2" applyNumberFormat="1" applyFont="1" applyFill="1" applyBorder="1" applyAlignment="1">
      <alignment horizontal="center" vertical="center" wrapText="1"/>
    </xf>
    <xf numFmtId="3" fontId="10" fillId="2" borderId="33" xfId="0" applyNumberFormat="1" applyFont="1" applyFill="1" applyBorder="1" applyAlignment="1">
      <alignment horizontal="center" vertical="center" wrapText="1"/>
    </xf>
    <xf numFmtId="49" fontId="10" fillId="2" borderId="44" xfId="0" applyNumberFormat="1" applyFont="1" applyFill="1" applyBorder="1" applyAlignment="1">
      <alignment horizontal="center" vertical="center" wrapText="1"/>
    </xf>
    <xf numFmtId="167" fontId="10" fillId="2" borderId="44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 wrapText="1"/>
    </xf>
    <xf numFmtId="167" fontId="10" fillId="2" borderId="5" xfId="2" applyNumberFormat="1" applyFont="1" applyFill="1" applyBorder="1" applyAlignment="1">
      <alignment horizontal="center" vertical="center" wrapText="1"/>
    </xf>
    <xf numFmtId="1" fontId="10" fillId="2" borderId="44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49" fontId="5" fillId="2" borderId="49" xfId="0" applyNumberFormat="1" applyFont="1" applyFill="1" applyBorder="1" applyAlignment="1">
      <alignment horizontal="center" vertical="center" wrapText="1"/>
    </xf>
    <xf numFmtId="167" fontId="5" fillId="2" borderId="32" xfId="2" applyNumberFormat="1" applyFont="1" applyFill="1" applyBorder="1" applyAlignment="1">
      <alignment horizontal="center" vertical="center"/>
    </xf>
    <xf numFmtId="167" fontId="5" fillId="2" borderId="42" xfId="2" applyNumberFormat="1" applyFont="1" applyFill="1" applyBorder="1" applyAlignment="1">
      <alignment horizontal="center" vertical="center"/>
    </xf>
    <xf numFmtId="167" fontId="5" fillId="2" borderId="16" xfId="2" applyNumberFormat="1" applyFont="1" applyFill="1" applyBorder="1" applyAlignment="1">
      <alignment horizontal="center" vertical="center"/>
    </xf>
    <xf numFmtId="3" fontId="5" fillId="2" borderId="32" xfId="1" applyNumberFormat="1" applyFont="1" applyFill="1" applyBorder="1" applyAlignment="1">
      <alignment horizontal="center" vertical="center"/>
    </xf>
    <xf numFmtId="3" fontId="5" fillId="2" borderId="42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167" fontId="5" fillId="2" borderId="31" xfId="2" applyNumberFormat="1" applyFont="1" applyFill="1" applyBorder="1" applyAlignment="1">
      <alignment horizontal="center" vertical="center"/>
    </xf>
    <xf numFmtId="167" fontId="10" fillId="2" borderId="46" xfId="2" applyNumberFormat="1" applyFont="1" applyFill="1" applyBorder="1" applyAlignment="1">
      <alignment horizontal="center" vertical="center"/>
    </xf>
    <xf numFmtId="167" fontId="10" fillId="2" borderId="41" xfId="2" applyNumberFormat="1" applyFont="1" applyFill="1" applyBorder="1" applyAlignment="1">
      <alignment horizontal="center" vertical="center"/>
    </xf>
    <xf numFmtId="1" fontId="10" fillId="2" borderId="41" xfId="0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/>
    </xf>
    <xf numFmtId="167" fontId="10" fillId="2" borderId="33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/>
    </xf>
    <xf numFmtId="49" fontId="21" fillId="2" borderId="44" xfId="0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" fontId="21" fillId="2" borderId="3" xfId="0" applyNumberFormat="1" applyFont="1" applyFill="1" applyBorder="1" applyAlignment="1">
      <alignment horizontal="center" vertical="center" wrapText="1"/>
    </xf>
    <xf numFmtId="167" fontId="21" fillId="2" borderId="33" xfId="2" applyNumberFormat="1" applyFont="1" applyFill="1" applyBorder="1" applyAlignment="1">
      <alignment horizontal="center" vertical="center" wrapText="1"/>
    </xf>
    <xf numFmtId="167" fontId="21" fillId="2" borderId="21" xfId="2" applyNumberFormat="1" applyFont="1" applyFill="1" applyBorder="1" applyAlignment="1">
      <alignment horizontal="center" vertical="center" wrapText="1"/>
    </xf>
    <xf numFmtId="167" fontId="21" fillId="2" borderId="33" xfId="2" applyNumberFormat="1" applyFont="1" applyFill="1" applyBorder="1" applyAlignment="1">
      <alignment horizontal="center" vertical="center"/>
    </xf>
    <xf numFmtId="167" fontId="5" fillId="2" borderId="15" xfId="2" applyNumberFormat="1" applyFont="1" applyFill="1" applyBorder="1" applyAlignment="1">
      <alignment horizontal="center" vertical="center"/>
    </xf>
    <xf numFmtId="167" fontId="5" fillId="2" borderId="39" xfId="2" applyNumberFormat="1" applyFont="1" applyFill="1" applyBorder="1" applyAlignment="1">
      <alignment horizontal="center" vertical="center"/>
    </xf>
    <xf numFmtId="167" fontId="21" fillId="2" borderId="6" xfId="2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justify" wrapText="1"/>
    </xf>
    <xf numFmtId="2" fontId="10" fillId="2" borderId="33" xfId="0" applyNumberFormat="1" applyFont="1" applyFill="1" applyBorder="1" applyAlignment="1">
      <alignment horizontal="center" vertical="justify" wrapText="1"/>
    </xf>
    <xf numFmtId="2" fontId="10" fillId="2" borderId="21" xfId="0" applyNumberFormat="1" applyFont="1" applyFill="1" applyBorder="1" applyAlignment="1">
      <alignment horizontal="center" vertical="justify" wrapText="1"/>
    </xf>
    <xf numFmtId="3" fontId="10" fillId="2" borderId="22" xfId="0" applyNumberFormat="1" applyFont="1" applyFill="1" applyBorder="1" applyAlignment="1">
      <alignment horizontal="center" vertical="center" wrapText="1"/>
    </xf>
    <xf numFmtId="168" fontId="10" fillId="2" borderId="33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/>
    </xf>
    <xf numFmtId="167" fontId="21" fillId="2" borderId="5" xfId="2" applyNumberFormat="1" applyFont="1" applyFill="1" applyBorder="1" applyAlignment="1">
      <alignment horizontal="center" vertical="center" wrapText="1"/>
    </xf>
    <xf numFmtId="167" fontId="5" fillId="2" borderId="32" xfId="2" applyNumberFormat="1" applyFont="1" applyFill="1" applyBorder="1" applyAlignment="1">
      <alignment horizontal="center" vertical="center" wrapText="1"/>
    </xf>
    <xf numFmtId="167" fontId="5" fillId="2" borderId="42" xfId="2" applyNumberFormat="1" applyFont="1" applyFill="1" applyBorder="1" applyAlignment="1">
      <alignment horizontal="center" vertical="center" wrapText="1"/>
    </xf>
    <xf numFmtId="167" fontId="5" fillId="2" borderId="16" xfId="2" applyNumberFormat="1" applyFont="1" applyFill="1" applyBorder="1" applyAlignment="1">
      <alignment horizontal="center" vertical="center" wrapText="1"/>
    </xf>
    <xf numFmtId="167" fontId="5" fillId="2" borderId="31" xfId="2" applyNumberFormat="1" applyFont="1" applyFill="1" applyBorder="1" applyAlignment="1">
      <alignment horizontal="center" vertical="center" wrapText="1"/>
    </xf>
    <xf numFmtId="167" fontId="5" fillId="2" borderId="39" xfId="2" applyNumberFormat="1" applyFont="1" applyFill="1" applyBorder="1" applyAlignment="1">
      <alignment horizontal="center" vertical="center" wrapText="1"/>
    </xf>
    <xf numFmtId="167" fontId="5" fillId="2" borderId="15" xfId="2" applyNumberFormat="1" applyFont="1" applyFill="1" applyBorder="1" applyAlignment="1">
      <alignment horizontal="center" vertical="center" wrapText="1"/>
    </xf>
    <xf numFmtId="49" fontId="10" fillId="2" borderId="48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7" fontId="10" fillId="2" borderId="48" xfId="2" applyNumberFormat="1" applyFont="1" applyFill="1" applyBorder="1" applyAlignment="1">
      <alignment horizontal="center" vertical="center" wrapText="1"/>
    </xf>
    <xf numFmtId="167" fontId="10" fillId="2" borderId="37" xfId="2" applyNumberFormat="1" applyFont="1" applyFill="1" applyBorder="1" applyAlignment="1">
      <alignment horizontal="center" vertical="center"/>
    </xf>
    <xf numFmtId="167" fontId="10" fillId="2" borderId="2" xfId="2" applyNumberFormat="1" applyFont="1" applyFill="1" applyBorder="1" applyAlignment="1">
      <alignment horizontal="center" vertical="center" wrapText="1"/>
    </xf>
    <xf numFmtId="167" fontId="10" fillId="2" borderId="23" xfId="2" applyNumberFormat="1" applyFont="1" applyFill="1" applyBorder="1" applyAlignment="1">
      <alignment horizontal="center" vertical="center" wrapText="1"/>
    </xf>
    <xf numFmtId="167" fontId="10" fillId="2" borderId="37" xfId="2" applyNumberFormat="1" applyFont="1" applyFill="1" applyBorder="1" applyAlignment="1">
      <alignment horizontal="center" vertical="center" wrapText="1"/>
    </xf>
    <xf numFmtId="167" fontId="21" fillId="2" borderId="2" xfId="2" applyNumberFormat="1" applyFont="1" applyFill="1" applyBorder="1" applyAlignment="1">
      <alignment horizontal="center" vertical="center" wrapText="1"/>
    </xf>
    <xf numFmtId="167" fontId="5" fillId="2" borderId="18" xfId="2" applyNumberFormat="1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center" wrapText="1"/>
    </xf>
    <xf numFmtId="1" fontId="5" fillId="2" borderId="42" xfId="0" applyNumberFormat="1" applyFont="1" applyFill="1" applyBorder="1" applyAlignment="1">
      <alignment horizontal="center" vertical="center" wrapText="1"/>
    </xf>
    <xf numFmtId="167" fontId="5" fillId="2" borderId="20" xfId="2" applyNumberFormat="1" applyFont="1" applyFill="1" applyBorder="1" applyAlignment="1">
      <alignment horizontal="center" vertical="center"/>
    </xf>
    <xf numFmtId="167" fontId="10" fillId="2" borderId="31" xfId="2" applyNumberFormat="1" applyFont="1" applyFill="1" applyBorder="1" applyAlignment="1">
      <alignment horizontal="center" vertical="center" wrapText="1"/>
    </xf>
    <xf numFmtId="167" fontId="10" fillId="2" borderId="39" xfId="2" applyNumberFormat="1" applyFont="1" applyFill="1" applyBorder="1" applyAlignment="1">
      <alignment horizontal="center" vertical="center" wrapText="1"/>
    </xf>
    <xf numFmtId="167" fontId="10" fillId="2" borderId="15" xfId="2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left" vertical="center" wrapText="1"/>
    </xf>
    <xf numFmtId="3" fontId="10" fillId="2" borderId="42" xfId="0" applyNumberFormat="1" applyFont="1" applyFill="1" applyBorder="1" applyAlignment="1">
      <alignment horizontal="center" vertical="center" wrapText="1"/>
    </xf>
    <xf numFmtId="3" fontId="10" fillId="2" borderId="18" xfId="0" applyNumberFormat="1" applyFont="1" applyFill="1" applyBorder="1" applyAlignment="1">
      <alignment horizontal="center" vertical="center" wrapText="1"/>
    </xf>
    <xf numFmtId="1" fontId="10" fillId="2" borderId="32" xfId="0" applyNumberFormat="1" applyFont="1" applyFill="1" applyBorder="1" applyAlignment="1">
      <alignment horizontal="center" vertical="center" wrapText="1"/>
    </xf>
    <xf numFmtId="1" fontId="10" fillId="2" borderId="42" xfId="0" applyNumberFormat="1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center" wrapText="1"/>
    </xf>
    <xf numFmtId="167" fontId="10" fillId="2" borderId="19" xfId="2" applyNumberFormat="1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 wrapText="1"/>
    </xf>
    <xf numFmtId="49" fontId="24" fillId="2" borderId="27" xfId="0" applyNumberFormat="1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49" fontId="10" fillId="2" borderId="51" xfId="0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10" fillId="2" borderId="52" xfId="0" applyNumberFormat="1" applyFont="1" applyFill="1" applyBorder="1" applyAlignment="1">
      <alignment horizontal="center" vertical="center" wrapText="1"/>
    </xf>
    <xf numFmtId="49" fontId="5" fillId="2" borderId="53" xfId="0" applyNumberFormat="1" applyFont="1" applyFill="1" applyBorder="1" applyAlignment="1">
      <alignment horizontal="center" vertical="center" wrapText="1"/>
    </xf>
    <xf numFmtId="49" fontId="5" fillId="2" borderId="54" xfId="0" applyNumberFormat="1" applyFont="1" applyFill="1" applyBorder="1" applyAlignment="1">
      <alignment horizontal="center" vertical="center" wrapText="1"/>
    </xf>
    <xf numFmtId="49" fontId="21" fillId="2" borderId="52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52" xfId="0" applyNumberFormat="1" applyFont="1" applyFill="1" applyBorder="1" applyAlignment="1">
      <alignment horizontal="center" vertical="center"/>
    </xf>
    <xf numFmtId="49" fontId="10" fillId="2" borderId="55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0" fontId="21" fillId="0" borderId="45" xfId="0" applyFont="1" applyFill="1" applyBorder="1"/>
    <xf numFmtId="49" fontId="21" fillId="2" borderId="56" xfId="0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2" fontId="10" fillId="2" borderId="50" xfId="3" quotePrefix="1" applyNumberFormat="1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10" fillId="2" borderId="55" xfId="0" applyFont="1" applyFill="1" applyBorder="1" applyAlignment="1">
      <alignment horizontal="left" vertical="center" wrapText="1"/>
    </xf>
    <xf numFmtId="167" fontId="5" fillId="2" borderId="28" xfId="2" applyNumberFormat="1" applyFont="1" applyFill="1" applyBorder="1" applyAlignment="1">
      <alignment horizontal="center" vertical="center"/>
    </xf>
    <xf numFmtId="168" fontId="5" fillId="3" borderId="34" xfId="2" applyNumberFormat="1" applyFont="1" applyFill="1" applyBorder="1" applyAlignment="1">
      <alignment horizontal="center" vertical="top" wrapText="1"/>
    </xf>
    <xf numFmtId="167" fontId="10" fillId="2" borderId="44" xfId="2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 wrapText="1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justify" wrapText="1"/>
    </xf>
    <xf numFmtId="165" fontId="10" fillId="2" borderId="19" xfId="0" applyNumberFormat="1" applyFont="1" applyFill="1" applyBorder="1" applyAlignment="1">
      <alignment horizontal="center" vertical="center" wrapText="1"/>
    </xf>
    <xf numFmtId="1" fontId="10" fillId="2" borderId="56" xfId="0" applyNumberFormat="1" applyFont="1" applyFill="1" applyBorder="1" applyAlignment="1">
      <alignment horizontal="center" vertical="center" wrapText="1"/>
    </xf>
    <xf numFmtId="167" fontId="5" fillId="2" borderId="18" xfId="2" applyNumberFormat="1" applyFont="1" applyFill="1" applyBorder="1" applyAlignment="1">
      <alignment horizontal="center" vertical="center" wrapText="1"/>
    </xf>
    <xf numFmtId="167" fontId="5" fillId="2" borderId="54" xfId="2" applyNumberFormat="1" applyFont="1" applyFill="1" applyBorder="1" applyAlignment="1">
      <alignment horizontal="center" vertical="center"/>
    </xf>
    <xf numFmtId="167" fontId="10" fillId="2" borderId="57" xfId="2" applyNumberFormat="1" applyFont="1" applyFill="1" applyBorder="1" applyAlignment="1">
      <alignment horizontal="center" vertical="center" wrapText="1"/>
    </xf>
    <xf numFmtId="167" fontId="21" fillId="2" borderId="19" xfId="2" applyNumberFormat="1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justify" wrapText="1"/>
    </xf>
    <xf numFmtId="167" fontId="10" fillId="2" borderId="56" xfId="2" applyNumberFormat="1" applyFont="1" applyFill="1" applyBorder="1" applyAlignment="1">
      <alignment horizontal="center" vertical="center" wrapText="1"/>
    </xf>
    <xf numFmtId="167" fontId="5" fillId="2" borderId="20" xfId="2" applyNumberFormat="1" applyFont="1" applyFill="1" applyBorder="1" applyAlignment="1">
      <alignment horizontal="center" vertical="center" wrapText="1"/>
    </xf>
    <xf numFmtId="167" fontId="10" fillId="2" borderId="20" xfId="2" applyNumberFormat="1" applyFont="1" applyFill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57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167" fontId="21" fillId="2" borderId="27" xfId="2" applyNumberFormat="1" applyFont="1" applyFill="1" applyBorder="1" applyAlignment="1">
      <alignment horizontal="center" vertical="center"/>
    </xf>
    <xf numFmtId="1" fontId="21" fillId="2" borderId="27" xfId="0" applyNumberFormat="1" applyFont="1" applyFill="1" applyBorder="1" applyAlignment="1">
      <alignment horizontal="center" vertical="center" wrapText="1"/>
    </xf>
    <xf numFmtId="167" fontId="21" fillId="2" borderId="56" xfId="2" applyNumberFormat="1" applyFont="1" applyFill="1" applyBorder="1" applyAlignment="1">
      <alignment horizontal="center" vertical="center" wrapText="1"/>
    </xf>
    <xf numFmtId="167" fontId="21" fillId="2" borderId="23" xfId="2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167" fontId="21" fillId="2" borderId="19" xfId="2" applyNumberFormat="1" applyFont="1" applyFill="1" applyBorder="1" applyAlignment="1">
      <alignment horizontal="center" vertical="center"/>
    </xf>
    <xf numFmtId="167" fontId="5" fillId="2" borderId="33" xfId="2" applyNumberFormat="1" applyFont="1" applyFill="1" applyBorder="1" applyAlignment="1">
      <alignment horizontal="center" vertical="center" wrapText="1"/>
    </xf>
    <xf numFmtId="168" fontId="5" fillId="2" borderId="33" xfId="2" applyNumberFormat="1" applyFont="1" applyFill="1" applyBorder="1" applyAlignment="1">
      <alignment horizontal="center" vertical="top" wrapText="1"/>
    </xf>
    <xf numFmtId="168" fontId="5" fillId="2" borderId="33" xfId="2" applyNumberFormat="1" applyFont="1" applyFill="1" applyBorder="1" applyAlignment="1">
      <alignment horizontal="center" vertical="center" wrapText="1"/>
    </xf>
    <xf numFmtId="2" fontId="5" fillId="2" borderId="33" xfId="2" applyNumberFormat="1" applyFont="1" applyFill="1" applyBorder="1" applyAlignment="1">
      <alignment horizontal="center" vertical="center" wrapText="1"/>
    </xf>
    <xf numFmtId="167" fontId="5" fillId="2" borderId="44" xfId="2" applyNumberFormat="1" applyFont="1" applyFill="1" applyBorder="1" applyAlignment="1">
      <alignment horizontal="center" vertical="center" wrapText="1"/>
    </xf>
    <xf numFmtId="167" fontId="5" fillId="2" borderId="46" xfId="2" applyNumberFormat="1" applyFont="1" applyFill="1" applyBorder="1" applyAlignment="1">
      <alignment horizontal="center" vertical="center" wrapText="1"/>
    </xf>
    <xf numFmtId="167" fontId="5" fillId="2" borderId="48" xfId="2" applyNumberFormat="1" applyFont="1" applyFill="1" applyBorder="1" applyAlignment="1">
      <alignment horizontal="center" vertical="center" wrapText="1"/>
    </xf>
    <xf numFmtId="167" fontId="5" fillId="2" borderId="33" xfId="2" applyNumberFormat="1" applyFont="1" applyFill="1" applyBorder="1" applyAlignment="1">
      <alignment horizontal="center" vertical="top" wrapText="1"/>
    </xf>
    <xf numFmtId="2" fontId="5" fillId="2" borderId="33" xfId="2" applyNumberFormat="1" applyFont="1" applyFill="1" applyBorder="1" applyAlignment="1">
      <alignment horizontal="center" vertical="top" wrapText="1"/>
    </xf>
    <xf numFmtId="167" fontId="5" fillId="2" borderId="33" xfId="2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left" vertical="center" wrapText="1"/>
    </xf>
    <xf numFmtId="167" fontId="10" fillId="2" borderId="48" xfId="2" applyNumberFormat="1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center" vertical="center" wrapText="1"/>
    </xf>
    <xf numFmtId="49" fontId="5" fillId="2" borderId="59" xfId="0" applyNumberFormat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left" vertical="center" wrapText="1"/>
    </xf>
    <xf numFmtId="168" fontId="5" fillId="2" borderId="47" xfId="2" applyNumberFormat="1" applyFont="1" applyFill="1" applyBorder="1" applyAlignment="1">
      <alignment horizontal="center" vertical="center"/>
    </xf>
    <xf numFmtId="168" fontId="5" fillId="2" borderId="38" xfId="2" applyNumberFormat="1" applyFont="1" applyFill="1" applyBorder="1" applyAlignment="1">
      <alignment horizontal="center" vertical="center"/>
    </xf>
    <xf numFmtId="167" fontId="5" fillId="2" borderId="9" xfId="2" applyNumberFormat="1" applyFont="1" applyFill="1" applyBorder="1" applyAlignment="1">
      <alignment horizontal="center" vertical="center"/>
    </xf>
    <xf numFmtId="167" fontId="5" fillId="2" borderId="60" xfId="2" applyNumberFormat="1" applyFont="1" applyFill="1" applyBorder="1" applyAlignment="1">
      <alignment horizontal="center" vertical="center"/>
    </xf>
    <xf numFmtId="167" fontId="5" fillId="2" borderId="47" xfId="2" applyNumberFormat="1" applyFont="1" applyFill="1" applyBorder="1" applyAlignment="1">
      <alignment horizontal="center" vertical="center"/>
    </xf>
    <xf numFmtId="167" fontId="5" fillId="2" borderId="38" xfId="2" applyNumberFormat="1" applyFont="1" applyFill="1" applyBorder="1" applyAlignment="1">
      <alignment horizontal="center" vertical="center"/>
    </xf>
    <xf numFmtId="168" fontId="5" fillId="2" borderId="47" xfId="2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168" fontId="5" fillId="2" borderId="34" xfId="2" applyNumberFormat="1" applyFont="1" applyFill="1" applyBorder="1" applyAlignment="1">
      <alignment horizontal="center" vertical="center"/>
    </xf>
    <xf numFmtId="168" fontId="5" fillId="2" borderId="43" xfId="2" applyNumberFormat="1" applyFont="1" applyFill="1" applyBorder="1" applyAlignment="1">
      <alignment horizontal="center" vertical="center"/>
    </xf>
    <xf numFmtId="167" fontId="5" fillId="2" borderId="61" xfId="2" applyNumberFormat="1" applyFont="1" applyFill="1" applyBorder="1" applyAlignment="1">
      <alignment horizontal="center" vertical="center"/>
    </xf>
    <xf numFmtId="167" fontId="5" fillId="2" borderId="62" xfId="2" applyNumberFormat="1" applyFont="1" applyFill="1" applyBorder="1" applyAlignment="1">
      <alignment horizontal="center" vertical="center"/>
    </xf>
    <xf numFmtId="167" fontId="5" fillId="2" borderId="34" xfId="2" applyNumberFormat="1" applyFont="1" applyFill="1" applyBorder="1" applyAlignment="1">
      <alignment horizontal="center" vertical="center"/>
    </xf>
    <xf numFmtId="167" fontId="5" fillId="2" borderId="43" xfId="2" applyNumberFormat="1" applyFont="1" applyFill="1" applyBorder="1" applyAlignment="1">
      <alignment horizontal="center" vertical="center"/>
    </xf>
    <xf numFmtId="49" fontId="10" fillId="2" borderId="56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 wrapText="1"/>
    </xf>
    <xf numFmtId="49" fontId="10" fillId="0" borderId="31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49" fontId="10" fillId="2" borderId="31" xfId="0" applyNumberFormat="1" applyFont="1" applyFill="1" applyBorder="1" applyAlignment="1">
      <alignment horizontal="center" vertical="center" wrapText="1"/>
    </xf>
    <xf numFmtId="2" fontId="10" fillId="2" borderId="27" xfId="3" quotePrefix="1" applyNumberFormat="1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49" fontId="10" fillId="2" borderId="19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 wrapText="1"/>
    </xf>
    <xf numFmtId="49" fontId="10" fillId="2" borderId="33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167" fontId="5" fillId="3" borderId="3" xfId="2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3" borderId="19" xfId="0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49" fontId="24" fillId="2" borderId="35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0" fillId="2" borderId="63" xfId="0" applyNumberFormat="1" applyFont="1" applyFill="1" applyBorder="1" applyAlignment="1">
      <alignment horizontal="center" vertical="center" wrapText="1"/>
    </xf>
    <xf numFmtId="3" fontId="10" fillId="2" borderId="27" xfId="0" applyNumberFormat="1" applyFont="1" applyFill="1" applyBorder="1" applyAlignment="1">
      <alignment horizontal="center" vertical="center" wrapText="1"/>
    </xf>
    <xf numFmtId="3" fontId="10" fillId="2" borderId="30" xfId="0" applyNumberFormat="1" applyFont="1" applyFill="1" applyBorder="1" applyAlignment="1">
      <alignment horizontal="center" vertical="center" wrapText="1"/>
    </xf>
    <xf numFmtId="167" fontId="10" fillId="2" borderId="35" xfId="2" applyNumberFormat="1" applyFont="1" applyFill="1" applyBorder="1" applyAlignment="1">
      <alignment horizontal="center" vertical="center"/>
    </xf>
    <xf numFmtId="168" fontId="5" fillId="3" borderId="27" xfId="2" applyNumberFormat="1" applyFont="1" applyFill="1" applyBorder="1" applyAlignment="1">
      <alignment horizontal="center" vertical="center" wrapText="1"/>
    </xf>
    <xf numFmtId="167" fontId="5" fillId="3" borderId="21" xfId="2" applyNumberFormat="1" applyFont="1" applyFill="1" applyBorder="1" applyAlignment="1">
      <alignment horizontal="center" vertical="center" wrapText="1"/>
    </xf>
    <xf numFmtId="3" fontId="10" fillId="2" borderId="32" xfId="0" applyNumberFormat="1" applyFont="1" applyFill="1" applyBorder="1" applyAlignment="1">
      <alignment horizontal="center" vertical="center" wrapText="1"/>
    </xf>
    <xf numFmtId="167" fontId="5" fillId="3" borderId="31" xfId="2" applyNumberFormat="1" applyFont="1" applyFill="1" applyBorder="1" applyAlignment="1">
      <alignment horizontal="center" vertical="center" wrapText="1"/>
    </xf>
    <xf numFmtId="167" fontId="5" fillId="3" borderId="19" xfId="2" applyNumberFormat="1" applyFont="1" applyFill="1" applyBorder="1" applyAlignment="1">
      <alignment horizontal="center" vertical="center" wrapText="1"/>
    </xf>
    <xf numFmtId="167" fontId="5" fillId="2" borderId="45" xfId="2" applyNumberFormat="1" applyFont="1" applyFill="1" applyBorder="1" applyAlignment="1">
      <alignment horizontal="center" vertical="center" wrapText="1"/>
    </xf>
    <xf numFmtId="168" fontId="5" fillId="3" borderId="31" xfId="2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49" fontId="5" fillId="3" borderId="58" xfId="0" applyNumberFormat="1" applyFont="1" applyFill="1" applyBorder="1" applyAlignment="1">
      <alignment horizontal="center" vertical="top" wrapText="1"/>
    </xf>
    <xf numFmtId="49" fontId="10" fillId="3" borderId="47" xfId="0" applyNumberFormat="1" applyFont="1" applyFill="1" applyBorder="1" applyAlignment="1">
      <alignment horizontal="center" vertical="top" wrapText="1"/>
    </xf>
    <xf numFmtId="49" fontId="5" fillId="3" borderId="59" xfId="0" applyNumberFormat="1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left" vertical="center" wrapText="1"/>
    </xf>
    <xf numFmtId="168" fontId="5" fillId="3" borderId="47" xfId="2" applyNumberFormat="1" applyFont="1" applyFill="1" applyBorder="1" applyAlignment="1">
      <alignment horizontal="center" vertical="top" wrapText="1"/>
    </xf>
    <xf numFmtId="168" fontId="5" fillId="3" borderId="64" xfId="2" applyNumberFormat="1" applyFont="1" applyFill="1" applyBorder="1" applyAlignment="1">
      <alignment horizontal="center" vertical="top" wrapText="1"/>
    </xf>
    <xf numFmtId="167" fontId="5" fillId="3" borderId="47" xfId="2" applyNumberFormat="1" applyFont="1" applyFill="1" applyBorder="1" applyAlignment="1">
      <alignment horizontal="center" vertical="top" wrapText="1"/>
    </xf>
    <xf numFmtId="49" fontId="5" fillId="3" borderId="24" xfId="0" applyNumberFormat="1" applyFont="1" applyFill="1" applyBorder="1" applyAlignment="1">
      <alignment horizontal="center" vertical="top" wrapText="1"/>
    </xf>
    <xf numFmtId="49" fontId="5" fillId="3" borderId="3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left" vertical="center" wrapText="1"/>
    </xf>
    <xf numFmtId="168" fontId="5" fillId="3" borderId="43" xfId="2" applyNumberFormat="1" applyFont="1" applyFill="1" applyBorder="1" applyAlignment="1">
      <alignment horizontal="center" vertical="top" wrapText="1"/>
    </xf>
    <xf numFmtId="167" fontId="5" fillId="3" borderId="61" xfId="2" applyNumberFormat="1" applyFont="1" applyFill="1" applyBorder="1" applyAlignment="1">
      <alignment horizontal="center" vertical="top" wrapText="1"/>
    </xf>
    <xf numFmtId="167" fontId="5" fillId="3" borderId="34" xfId="2" applyNumberFormat="1" applyFont="1" applyFill="1" applyBorder="1" applyAlignment="1">
      <alignment horizontal="center" vertical="top" wrapText="1"/>
    </xf>
    <xf numFmtId="167" fontId="5" fillId="3" borderId="43" xfId="2" applyNumberFormat="1" applyFont="1" applyFill="1" applyBorder="1" applyAlignment="1">
      <alignment horizontal="center" vertical="top" wrapText="1"/>
    </xf>
    <xf numFmtId="1" fontId="10" fillId="3" borderId="61" xfId="0" applyNumberFormat="1" applyFont="1" applyFill="1" applyBorder="1" applyAlignment="1">
      <alignment horizontal="center" vertical="center"/>
    </xf>
    <xf numFmtId="167" fontId="5" fillId="3" borderId="65" xfId="2" applyNumberFormat="1" applyFont="1" applyFill="1" applyBorder="1" applyAlignment="1">
      <alignment horizontal="center" vertical="top" wrapText="1"/>
    </xf>
    <xf numFmtId="168" fontId="5" fillId="3" borderId="4" xfId="2" applyNumberFormat="1" applyFont="1" applyFill="1" applyBorder="1" applyAlignment="1">
      <alignment horizontal="center" vertical="top" wrapText="1"/>
    </xf>
    <xf numFmtId="1" fontId="10" fillId="2" borderId="3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2" fillId="0" borderId="41" xfId="0" applyNumberFormat="1" applyFont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Border="1" applyAlignment="1" applyProtection="1">
      <alignment horizontal="center" vertical="center" wrapText="1"/>
      <protection locked="0"/>
    </xf>
    <xf numFmtId="49" fontId="22" fillId="0" borderId="39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10" fillId="0" borderId="5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22" fillId="0" borderId="25" xfId="0" applyNumberFormat="1" applyFont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Border="1" applyAlignment="1" applyProtection="1">
      <alignment horizontal="center" vertical="center" wrapText="1"/>
      <protection locked="0"/>
    </xf>
    <xf numFmtId="49" fontId="22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49" fontId="5" fillId="0" borderId="31" xfId="0" applyNumberFormat="1" applyFont="1" applyBorder="1" applyAlignment="1" applyProtection="1">
      <alignment horizontal="center" vertical="center" wrapText="1"/>
      <protection locked="0"/>
    </xf>
    <xf numFmtId="1" fontId="10" fillId="3" borderId="65" xfId="0" applyNumberFormat="1" applyFont="1" applyFill="1" applyBorder="1" applyAlignment="1">
      <alignment horizontal="center" vertical="center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6"/>
  <sheetViews>
    <sheetView tabSelected="1" view="pageBreakPreview" zoomScale="75" zoomScaleNormal="100" zoomScaleSheetLayoutView="75" workbookViewId="0">
      <selection activeCell="L14" sqref="L14"/>
    </sheetView>
  </sheetViews>
  <sheetFormatPr defaultColWidth="9.140625" defaultRowHeight="12.75" x14ac:dyDescent="0.2"/>
  <cols>
    <col min="1" max="1" width="15.85546875" style="1" customWidth="1"/>
    <col min="2" max="2" width="17" style="5" customWidth="1"/>
    <col min="3" max="3" width="14.85546875" style="5" customWidth="1"/>
    <col min="4" max="4" width="65.5703125" style="1" customWidth="1"/>
    <col min="5" max="5" width="20.140625" style="1" customWidth="1"/>
    <col min="6" max="6" width="20" style="1" customWidth="1"/>
    <col min="7" max="7" width="18.140625" style="1" customWidth="1"/>
    <col min="8" max="8" width="18.85546875" style="1" customWidth="1"/>
    <col min="9" max="9" width="15.140625" style="1" customWidth="1"/>
    <col min="10" max="10" width="18" style="1" customWidth="1"/>
    <col min="11" max="11" width="17.7109375" style="1" customWidth="1"/>
    <col min="12" max="12" width="17.85546875" style="1" customWidth="1"/>
    <col min="13" max="13" width="14.7109375" style="1" customWidth="1"/>
    <col min="14" max="14" width="15.5703125" style="1" customWidth="1"/>
    <col min="15" max="15" width="18.7109375" style="1" customWidth="1"/>
    <col min="16" max="16" width="21.42578125" style="1" customWidth="1"/>
    <col min="17" max="17" width="18.7109375" style="1" customWidth="1"/>
    <col min="18" max="18" width="16" style="1" customWidth="1"/>
    <col min="19" max="16384" width="9.140625" style="1"/>
  </cols>
  <sheetData>
    <row r="1" spans="1:31" ht="19.5" customHeight="1" x14ac:dyDescent="0.3">
      <c r="A1" s="33"/>
      <c r="B1" s="34"/>
      <c r="C1" s="34"/>
      <c r="D1" s="33"/>
      <c r="E1" s="33"/>
      <c r="F1" s="33"/>
      <c r="G1" s="33"/>
      <c r="H1" s="33"/>
      <c r="I1" s="33"/>
      <c r="J1" s="33"/>
      <c r="K1" s="35"/>
      <c r="L1" s="32"/>
      <c r="M1" s="32"/>
      <c r="N1" s="347" t="s">
        <v>52</v>
      </c>
      <c r="O1" s="347"/>
      <c r="P1" s="15"/>
    </row>
    <row r="2" spans="1:31" ht="30" customHeight="1" x14ac:dyDescent="0.2">
      <c r="A2" s="33"/>
      <c r="B2" s="34"/>
      <c r="C2" s="34"/>
      <c r="D2" s="33"/>
      <c r="E2" s="33"/>
      <c r="F2" s="33"/>
      <c r="G2" s="33"/>
      <c r="H2" s="33"/>
      <c r="I2" s="33"/>
      <c r="J2" s="37"/>
      <c r="K2" s="38"/>
      <c r="L2" s="348" t="s">
        <v>160</v>
      </c>
      <c r="M2" s="348"/>
      <c r="N2" s="348"/>
      <c r="O2" s="348"/>
      <c r="P2" s="348"/>
    </row>
    <row r="3" spans="1:31" ht="18" customHeight="1" x14ac:dyDescent="0.3">
      <c r="A3" s="33"/>
      <c r="B3" s="34"/>
      <c r="C3" s="34"/>
      <c r="D3" s="39"/>
      <c r="E3" s="33"/>
      <c r="F3" s="33"/>
      <c r="G3" s="33"/>
      <c r="H3" s="33"/>
      <c r="I3" s="33"/>
      <c r="J3" s="33"/>
      <c r="K3" s="346" t="s">
        <v>242</v>
      </c>
      <c r="L3" s="346"/>
      <c r="M3" s="346"/>
      <c r="N3" s="346"/>
      <c r="O3" s="346"/>
      <c r="P3" s="47"/>
    </row>
    <row r="4" spans="1:31" ht="15" customHeight="1" x14ac:dyDescent="0.3">
      <c r="A4" s="33"/>
      <c r="B4" s="34"/>
      <c r="C4" s="34"/>
      <c r="D4" s="39"/>
      <c r="E4" s="33"/>
      <c r="F4" s="33"/>
      <c r="G4" s="33"/>
      <c r="H4" s="33"/>
      <c r="I4" s="33"/>
      <c r="J4" s="33"/>
      <c r="K4" s="33"/>
      <c r="L4" s="40"/>
      <c r="M4" s="40"/>
      <c r="N4" s="40"/>
      <c r="O4" s="40"/>
      <c r="P4" s="36"/>
    </row>
    <row r="5" spans="1:31" ht="36" customHeight="1" thickBot="1" x14ac:dyDescent="0.35">
      <c r="A5" s="49"/>
      <c r="B5" s="352" t="s">
        <v>151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6.5" customHeight="1" thickBot="1" x14ac:dyDescent="0.35">
      <c r="A6" s="49"/>
      <c r="B6" s="208"/>
      <c r="C6" s="50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1" t="s">
        <v>47</v>
      </c>
    </row>
    <row r="7" spans="1:31" ht="24.75" customHeight="1" thickBot="1" x14ac:dyDescent="0.25">
      <c r="A7" s="376" t="s">
        <v>41</v>
      </c>
      <c r="B7" s="349" t="s">
        <v>42</v>
      </c>
      <c r="C7" s="379" t="s">
        <v>43</v>
      </c>
      <c r="D7" s="349" t="s">
        <v>54</v>
      </c>
      <c r="E7" s="353" t="s">
        <v>12</v>
      </c>
      <c r="F7" s="354"/>
      <c r="G7" s="354"/>
      <c r="H7" s="354"/>
      <c r="I7" s="355"/>
      <c r="J7" s="353" t="s">
        <v>13</v>
      </c>
      <c r="K7" s="354"/>
      <c r="L7" s="354"/>
      <c r="M7" s="354"/>
      <c r="N7" s="354"/>
      <c r="O7" s="355"/>
      <c r="P7" s="368" t="s">
        <v>2</v>
      </c>
    </row>
    <row r="8" spans="1:31" ht="14.25" customHeight="1" x14ac:dyDescent="0.3">
      <c r="A8" s="377"/>
      <c r="B8" s="350"/>
      <c r="C8" s="380"/>
      <c r="D8" s="350"/>
      <c r="E8" s="393" t="s">
        <v>44</v>
      </c>
      <c r="F8" s="371" t="s">
        <v>3</v>
      </c>
      <c r="G8" s="374" t="s">
        <v>53</v>
      </c>
      <c r="H8" s="374"/>
      <c r="I8" s="388" t="s">
        <v>4</v>
      </c>
      <c r="J8" s="382" t="s">
        <v>44</v>
      </c>
      <c r="K8" s="385" t="s">
        <v>45</v>
      </c>
      <c r="L8" s="358" t="s">
        <v>3</v>
      </c>
      <c r="M8" s="361" t="s">
        <v>46</v>
      </c>
      <c r="N8" s="361"/>
      <c r="O8" s="362" t="s">
        <v>4</v>
      </c>
      <c r="P8" s="369"/>
    </row>
    <row r="9" spans="1:31" ht="14.25" customHeight="1" x14ac:dyDescent="0.2">
      <c r="A9" s="377"/>
      <c r="B9" s="350"/>
      <c r="C9" s="380"/>
      <c r="D9" s="350"/>
      <c r="E9" s="394"/>
      <c r="F9" s="372"/>
      <c r="G9" s="391" t="s">
        <v>0</v>
      </c>
      <c r="H9" s="391" t="s">
        <v>1</v>
      </c>
      <c r="I9" s="389"/>
      <c r="J9" s="383"/>
      <c r="K9" s="386"/>
      <c r="L9" s="359"/>
      <c r="M9" s="356" t="s">
        <v>0</v>
      </c>
      <c r="N9" s="365" t="s">
        <v>1</v>
      </c>
      <c r="O9" s="363"/>
      <c r="P9" s="370"/>
    </row>
    <row r="10" spans="1:31" ht="150.75" customHeight="1" thickBot="1" x14ac:dyDescent="0.25">
      <c r="A10" s="378"/>
      <c r="B10" s="351"/>
      <c r="C10" s="381"/>
      <c r="D10" s="351"/>
      <c r="E10" s="395"/>
      <c r="F10" s="373"/>
      <c r="G10" s="392"/>
      <c r="H10" s="392"/>
      <c r="I10" s="390"/>
      <c r="J10" s="384"/>
      <c r="K10" s="387"/>
      <c r="L10" s="360"/>
      <c r="M10" s="357"/>
      <c r="N10" s="366"/>
      <c r="O10" s="364"/>
      <c r="P10" s="370"/>
    </row>
    <row r="11" spans="1:31" ht="17.25" customHeight="1" thickBot="1" x14ac:dyDescent="0.35">
      <c r="A11" s="196">
        <v>1</v>
      </c>
      <c r="B11" s="53">
        <v>2</v>
      </c>
      <c r="C11" s="54">
        <v>3</v>
      </c>
      <c r="D11" s="52">
        <v>4</v>
      </c>
      <c r="E11" s="55">
        <v>5</v>
      </c>
      <c r="F11" s="56">
        <v>6</v>
      </c>
      <c r="G11" s="57">
        <v>7</v>
      </c>
      <c r="H11" s="57">
        <v>8</v>
      </c>
      <c r="I11" s="58">
        <v>9</v>
      </c>
      <c r="J11" s="52">
        <v>10</v>
      </c>
      <c r="K11" s="59">
        <v>11</v>
      </c>
      <c r="L11" s="60">
        <v>12</v>
      </c>
      <c r="M11" s="60">
        <v>13</v>
      </c>
      <c r="N11" s="60">
        <v>14</v>
      </c>
      <c r="O11" s="61">
        <v>15</v>
      </c>
      <c r="P11" s="62" t="s">
        <v>6</v>
      </c>
    </row>
    <row r="12" spans="1:31" ht="27" customHeight="1" thickBot="1" x14ac:dyDescent="0.25">
      <c r="A12" s="333" t="s">
        <v>50</v>
      </c>
      <c r="B12" s="334"/>
      <c r="C12" s="335"/>
      <c r="D12" s="336" t="s">
        <v>94</v>
      </c>
      <c r="E12" s="216">
        <f>E13</f>
        <v>22039698.73</v>
      </c>
      <c r="F12" s="337">
        <f t="shared" ref="F12:P12" si="0">F13</f>
        <v>22039698.73</v>
      </c>
      <c r="G12" s="338">
        <f t="shared" si="0"/>
        <v>6455584</v>
      </c>
      <c r="H12" s="338">
        <f t="shared" si="0"/>
        <v>1096035</v>
      </c>
      <c r="I12" s="396">
        <v>0</v>
      </c>
      <c r="J12" s="339">
        <f t="shared" si="0"/>
        <v>9337709</v>
      </c>
      <c r="K12" s="340">
        <f t="shared" si="0"/>
        <v>9297709</v>
      </c>
      <c r="L12" s="338">
        <f t="shared" si="0"/>
        <v>40000</v>
      </c>
      <c r="M12" s="341">
        <v>0</v>
      </c>
      <c r="N12" s="341">
        <v>0</v>
      </c>
      <c r="O12" s="342">
        <f t="shared" si="0"/>
        <v>9297709</v>
      </c>
      <c r="P12" s="343">
        <f t="shared" si="0"/>
        <v>31377407.73</v>
      </c>
      <c r="Q12" s="48"/>
    </row>
    <row r="13" spans="1:31" ht="26.25" customHeight="1" thickBot="1" x14ac:dyDescent="0.25">
      <c r="A13" s="326" t="s">
        <v>14</v>
      </c>
      <c r="B13" s="327"/>
      <c r="C13" s="328"/>
      <c r="D13" s="329" t="s">
        <v>94</v>
      </c>
      <c r="E13" s="330">
        <f>E14+E15+E22+E33+E38+E39+E40+E41+E45+E49+E50+E51+E57+E61+E62+E52+E28+E53+E60</f>
        <v>22039698.73</v>
      </c>
      <c r="F13" s="331">
        <f>F14+F15+F22+F33+F38+F39+F40+F41+F45+F49+F50+F51+F57+F61+F62+F52+F28+F53+F60</f>
        <v>22039698.73</v>
      </c>
      <c r="G13" s="332">
        <f>G14+G15+G22+G33+G38+G39+G40+G41+G45+G49+G50+G51+G57+G61+G62+G52+G28+G53</f>
        <v>6455584</v>
      </c>
      <c r="H13" s="332">
        <f>H14+H15+H22+H33+H38+H39+H40+H41+H45+H49+H50+H51+H57+H61+H62+H52+H28+H53</f>
        <v>1096035</v>
      </c>
      <c r="I13" s="332">
        <f>I14+I15+I22+I33+I38+I39+I40+I41+I45+I49+I50+I51+I57+I61+I62+I52+I28+I53</f>
        <v>0</v>
      </c>
      <c r="J13" s="332">
        <f>J14+J15+J22+J28+J33+J38+J39+J40+J41+J45+J49+J50+J51+J52+J53+J55+J56+J57+J59+J61+J62+J58+J54</f>
        <v>9337709</v>
      </c>
      <c r="K13" s="332">
        <f>K14+K15+K22+K28+K33+K38+K39+K40+K41+K45+K49+K50+K51+K52+K53+K55+K56+K57+K59+K61+K62+K58+K54</f>
        <v>9297709</v>
      </c>
      <c r="L13" s="332">
        <f>L14+L15+L22+L33+L38+L39+L40+L41+L45+L49+L50+L51+L57+L61+L62+L52+L28+L53</f>
        <v>40000</v>
      </c>
      <c r="M13" s="332">
        <f>M14+M15+M22+M33+M38+M39+M40+M41+M45+M49+M50+M51+M57+M61+M62+M52+M28+M53</f>
        <v>0</v>
      </c>
      <c r="N13" s="332">
        <f>N14+N15+N22+N33+N38+N39+N40+N41+N45+N49+N50+N51+N57+N61+N62+N52+N28+N53</f>
        <v>0</v>
      </c>
      <c r="O13" s="332">
        <f>O14+O15+O22+O28+O33+O38+O39+O40+O41+O45+O49+O50+O51+O52+O53+O55+O56+O57+O59+O61+O62+O58+O54</f>
        <v>9297709</v>
      </c>
      <c r="P13" s="330">
        <f>P14+P15+P22+P28+P33+P38+P39+P40+P41+P45+P49+P50+P51+P52+P53+P55+P56+P57+P59+P61+P62+P58+P54+P60</f>
        <v>31377407.73</v>
      </c>
      <c r="Q13" s="48"/>
    </row>
    <row r="14" spans="1:31" ht="103.5" customHeight="1" x14ac:dyDescent="0.2">
      <c r="A14" s="197" t="s">
        <v>21</v>
      </c>
      <c r="B14" s="276" t="s">
        <v>22</v>
      </c>
      <c r="C14" s="276" t="s">
        <v>5</v>
      </c>
      <c r="D14" s="252" t="s">
        <v>18</v>
      </c>
      <c r="E14" s="91">
        <f>F14</f>
        <v>8744712</v>
      </c>
      <c r="F14" s="92">
        <f>8171942+101052+125642+89475+17503+110709+128389</f>
        <v>8744712</v>
      </c>
      <c r="G14" s="93">
        <f>6233226-13403</f>
        <v>6219823</v>
      </c>
      <c r="H14" s="93">
        <f>180500+13403+1457+228+198000</f>
        <v>393588</v>
      </c>
      <c r="I14" s="218"/>
      <c r="J14" s="188">
        <f>K14+N14</f>
        <v>173884</v>
      </c>
      <c r="K14" s="95">
        <f>84000+99200-9316</f>
        <v>173884</v>
      </c>
      <c r="L14" s="96"/>
      <c r="M14" s="96"/>
      <c r="N14" s="96"/>
      <c r="O14" s="234">
        <f>84000+99200-9316</f>
        <v>173884</v>
      </c>
      <c r="P14" s="164">
        <f>E14+J14</f>
        <v>8918596</v>
      </c>
      <c r="Q14" s="48"/>
      <c r="R14" s="48"/>
    </row>
    <row r="15" spans="1:31" ht="42" customHeight="1" x14ac:dyDescent="0.2">
      <c r="A15" s="198" t="s">
        <v>110</v>
      </c>
      <c r="B15" s="97" t="s">
        <v>11</v>
      </c>
      <c r="C15" s="97" t="s">
        <v>111</v>
      </c>
      <c r="D15" s="278" t="s">
        <v>207</v>
      </c>
      <c r="E15" s="91">
        <f>E17+E18+E19+E20+E21</f>
        <v>351741</v>
      </c>
      <c r="F15" s="66">
        <f>F17+F18+F19+F20+F21</f>
        <v>351741</v>
      </c>
      <c r="G15" s="99">
        <v>235761</v>
      </c>
      <c r="H15" s="99">
        <v>12821</v>
      </c>
      <c r="I15" s="103"/>
      <c r="J15" s="70">
        <f>J17</f>
        <v>3500</v>
      </c>
      <c r="K15" s="100">
        <f>K17</f>
        <v>3500</v>
      </c>
      <c r="L15" s="99"/>
      <c r="M15" s="99"/>
      <c r="N15" s="99"/>
      <c r="O15" s="192">
        <f>O17</f>
        <v>3500</v>
      </c>
      <c r="P15" s="242">
        <f>P17+P18+P19+P20+P21</f>
        <v>355241</v>
      </c>
      <c r="Q15" s="48"/>
      <c r="R15" s="7"/>
      <c r="S15" s="7"/>
      <c r="T15" s="7"/>
    </row>
    <row r="16" spans="1:31" ht="54.75" hidden="1" customHeight="1" x14ac:dyDescent="0.2">
      <c r="A16" s="198" t="s">
        <v>121</v>
      </c>
      <c r="B16" s="97" t="s">
        <v>122</v>
      </c>
      <c r="C16" s="97" t="s">
        <v>123</v>
      </c>
      <c r="D16" s="278" t="s">
        <v>124</v>
      </c>
      <c r="E16" s="91">
        <f t="shared" ref="E16:E21" si="1">F16</f>
        <v>0</v>
      </c>
      <c r="F16" s="66"/>
      <c r="G16" s="101"/>
      <c r="H16" s="101"/>
      <c r="I16" s="103"/>
      <c r="J16" s="70"/>
      <c r="K16" s="100"/>
      <c r="L16" s="99"/>
      <c r="M16" s="99"/>
      <c r="N16" s="99"/>
      <c r="O16" s="192"/>
      <c r="P16" s="242">
        <f t="shared" ref="P16:P91" si="2">E16+J16</f>
        <v>0</v>
      </c>
      <c r="Q16" s="48"/>
      <c r="R16" s="7"/>
      <c r="S16" s="7"/>
      <c r="T16" s="7"/>
    </row>
    <row r="17" spans="1:20" ht="49.5" customHeight="1" x14ac:dyDescent="0.2">
      <c r="A17" s="198"/>
      <c r="B17" s="97"/>
      <c r="C17" s="97"/>
      <c r="D17" s="278" t="s">
        <v>143</v>
      </c>
      <c r="E17" s="91">
        <f t="shared" si="1"/>
        <v>73230</v>
      </c>
      <c r="F17" s="87">
        <f>20000+52798+432</f>
        <v>73230</v>
      </c>
      <c r="G17" s="99">
        <v>34196</v>
      </c>
      <c r="H17" s="99">
        <v>1895</v>
      </c>
      <c r="I17" s="103"/>
      <c r="J17" s="70">
        <f>K17</f>
        <v>3500</v>
      </c>
      <c r="K17" s="102">
        <v>3500</v>
      </c>
      <c r="L17" s="99"/>
      <c r="M17" s="99"/>
      <c r="N17" s="99"/>
      <c r="O17" s="192">
        <f>K17</f>
        <v>3500</v>
      </c>
      <c r="P17" s="119">
        <f>E17+J17</f>
        <v>76730</v>
      </c>
      <c r="Q17" s="48"/>
      <c r="R17" s="7"/>
      <c r="S17" s="7"/>
      <c r="T17" s="7"/>
    </row>
    <row r="18" spans="1:20" ht="45.75" customHeight="1" x14ac:dyDescent="0.2">
      <c r="A18" s="198"/>
      <c r="B18" s="97"/>
      <c r="C18" s="97"/>
      <c r="D18" s="278" t="s">
        <v>156</v>
      </c>
      <c r="E18" s="91">
        <f t="shared" si="1"/>
        <v>66343</v>
      </c>
      <c r="F18" s="87">
        <v>66343</v>
      </c>
      <c r="G18" s="99">
        <v>52730</v>
      </c>
      <c r="H18" s="99">
        <v>2013</v>
      </c>
      <c r="I18" s="103"/>
      <c r="J18" s="70"/>
      <c r="K18" s="102"/>
      <c r="L18" s="99"/>
      <c r="M18" s="99"/>
      <c r="N18" s="99"/>
      <c r="O18" s="192"/>
      <c r="P18" s="119">
        <f t="shared" si="2"/>
        <v>66343</v>
      </c>
      <c r="Q18" s="48"/>
      <c r="R18" s="7"/>
      <c r="S18" s="7"/>
      <c r="T18" s="7"/>
    </row>
    <row r="19" spans="1:20" ht="45.75" customHeight="1" x14ac:dyDescent="0.2">
      <c r="A19" s="198"/>
      <c r="B19" s="97"/>
      <c r="C19" s="97"/>
      <c r="D19" s="278" t="s">
        <v>145</v>
      </c>
      <c r="E19" s="91">
        <f t="shared" si="1"/>
        <v>90894</v>
      </c>
      <c r="F19" s="87">
        <v>90894</v>
      </c>
      <c r="G19" s="99">
        <v>68289</v>
      </c>
      <c r="H19" s="99">
        <v>4561</v>
      </c>
      <c r="I19" s="103"/>
      <c r="J19" s="70"/>
      <c r="K19" s="102"/>
      <c r="L19" s="99"/>
      <c r="M19" s="99"/>
      <c r="N19" s="99"/>
      <c r="O19" s="192"/>
      <c r="P19" s="119">
        <f t="shared" si="2"/>
        <v>90894</v>
      </c>
      <c r="Q19" s="48"/>
      <c r="R19" s="7"/>
      <c r="S19" s="7"/>
      <c r="T19" s="7"/>
    </row>
    <row r="20" spans="1:20" ht="48" customHeight="1" x14ac:dyDescent="0.2">
      <c r="A20" s="198"/>
      <c r="B20" s="97"/>
      <c r="C20" s="97"/>
      <c r="D20" s="278" t="s">
        <v>146</v>
      </c>
      <c r="E20" s="91">
        <f t="shared" si="1"/>
        <v>63380</v>
      </c>
      <c r="F20" s="87">
        <v>63380</v>
      </c>
      <c r="G20" s="99">
        <v>43050</v>
      </c>
      <c r="H20" s="99">
        <v>2274</v>
      </c>
      <c r="I20" s="103"/>
      <c r="J20" s="70"/>
      <c r="K20" s="102"/>
      <c r="L20" s="99"/>
      <c r="M20" s="99"/>
      <c r="N20" s="99"/>
      <c r="O20" s="192"/>
      <c r="P20" s="119">
        <f t="shared" si="2"/>
        <v>63380</v>
      </c>
      <c r="Q20" s="48"/>
      <c r="R20" s="7"/>
      <c r="S20" s="7"/>
      <c r="T20" s="7"/>
    </row>
    <row r="21" spans="1:20" ht="43.5" customHeight="1" x14ac:dyDescent="0.2">
      <c r="A21" s="198"/>
      <c r="B21" s="97"/>
      <c r="C21" s="97"/>
      <c r="D21" s="278" t="s">
        <v>206</v>
      </c>
      <c r="E21" s="91">
        <f t="shared" si="1"/>
        <v>57894</v>
      </c>
      <c r="F21" s="87">
        <v>57894</v>
      </c>
      <c r="G21" s="99">
        <v>37496</v>
      </c>
      <c r="H21" s="99">
        <v>2078</v>
      </c>
      <c r="I21" s="103"/>
      <c r="J21" s="70"/>
      <c r="K21" s="102"/>
      <c r="L21" s="99"/>
      <c r="M21" s="99"/>
      <c r="N21" s="99"/>
      <c r="O21" s="192"/>
      <c r="P21" s="119">
        <f t="shared" si="2"/>
        <v>57894</v>
      </c>
      <c r="Q21" s="48"/>
      <c r="R21" s="7"/>
      <c r="S21" s="7"/>
      <c r="T21" s="7"/>
    </row>
    <row r="22" spans="1:20" ht="66.75" customHeight="1" x14ac:dyDescent="0.2">
      <c r="A22" s="198" t="s">
        <v>97</v>
      </c>
      <c r="B22" s="97" t="s">
        <v>99</v>
      </c>
      <c r="C22" s="97" t="s">
        <v>98</v>
      </c>
      <c r="D22" s="278" t="s">
        <v>201</v>
      </c>
      <c r="E22" s="70">
        <f>F22</f>
        <v>6449925</v>
      </c>
      <c r="F22" s="103">
        <f>F23+F24+F25+F26+F27</f>
        <v>6449925</v>
      </c>
      <c r="G22" s="101">
        <f t="shared" ref="G22:I22" si="3">G23+G24+G25+G26</f>
        <v>0</v>
      </c>
      <c r="H22" s="101">
        <f t="shared" si="3"/>
        <v>0</v>
      </c>
      <c r="I22" s="219">
        <f t="shared" si="3"/>
        <v>0</v>
      </c>
      <c r="J22" s="70">
        <f>J24+J23</f>
        <v>24000</v>
      </c>
      <c r="K22" s="103">
        <f>K24+K23</f>
        <v>24000</v>
      </c>
      <c r="L22" s="99">
        <f t="shared" ref="L22:N22" si="4">L24</f>
        <v>0</v>
      </c>
      <c r="M22" s="99">
        <f t="shared" si="4"/>
        <v>0</v>
      </c>
      <c r="N22" s="99">
        <f t="shared" si="4"/>
        <v>0</v>
      </c>
      <c r="O22" s="192">
        <f>O24+O23</f>
        <v>24000</v>
      </c>
      <c r="P22" s="242">
        <f>E22+J22</f>
        <v>6473925</v>
      </c>
      <c r="Q22" s="48"/>
      <c r="R22" s="7"/>
      <c r="S22" s="7"/>
      <c r="T22" s="7"/>
    </row>
    <row r="23" spans="1:20" ht="45" customHeight="1" x14ac:dyDescent="0.2">
      <c r="A23" s="199"/>
      <c r="B23" s="104"/>
      <c r="C23" s="104"/>
      <c r="D23" s="278" t="s">
        <v>143</v>
      </c>
      <c r="E23" s="70">
        <f t="shared" ref="E23:E37" si="5">F23</f>
        <v>1026825</v>
      </c>
      <c r="F23" s="106">
        <f>697495+27000+26280+57388+55300+48800+114562</f>
        <v>1026825</v>
      </c>
      <c r="G23" s="101"/>
      <c r="H23" s="101"/>
      <c r="I23" s="192"/>
      <c r="J23" s="70">
        <f>L23+O23</f>
        <v>0</v>
      </c>
      <c r="K23" s="100">
        <f>O23</f>
        <v>0</v>
      </c>
      <c r="L23" s="99"/>
      <c r="M23" s="99"/>
      <c r="N23" s="99"/>
      <c r="O23" s="192">
        <f>55300-55300</f>
        <v>0</v>
      </c>
      <c r="P23" s="119">
        <f>E23+J23</f>
        <v>1026825</v>
      </c>
      <c r="Q23" s="48"/>
      <c r="R23" s="7"/>
      <c r="S23" s="7"/>
      <c r="T23" s="7"/>
    </row>
    <row r="24" spans="1:20" ht="44.25" customHeight="1" x14ac:dyDescent="0.2">
      <c r="A24" s="199"/>
      <c r="B24" s="104"/>
      <c r="C24" s="104"/>
      <c r="D24" s="278" t="s">
        <v>144</v>
      </c>
      <c r="E24" s="70">
        <f t="shared" si="5"/>
        <v>1244841</v>
      </c>
      <c r="F24" s="106">
        <f>991537+253304</f>
        <v>1244841</v>
      </c>
      <c r="G24" s="101"/>
      <c r="H24" s="101"/>
      <c r="I24" s="192"/>
      <c r="J24" s="70">
        <v>24000</v>
      </c>
      <c r="K24" s="100">
        <v>24000</v>
      </c>
      <c r="L24" s="99"/>
      <c r="M24" s="99"/>
      <c r="N24" s="99"/>
      <c r="O24" s="192">
        <v>24000</v>
      </c>
      <c r="P24" s="119">
        <f>E24+J24</f>
        <v>1268841</v>
      </c>
      <c r="Q24" s="48"/>
      <c r="R24" s="7"/>
      <c r="S24" s="7"/>
      <c r="T24" s="7"/>
    </row>
    <row r="25" spans="1:20" ht="44.25" customHeight="1" x14ac:dyDescent="0.2">
      <c r="A25" s="199"/>
      <c r="B25" s="104"/>
      <c r="C25" s="104"/>
      <c r="D25" s="278" t="s">
        <v>145</v>
      </c>
      <c r="E25" s="70">
        <f t="shared" si="5"/>
        <v>2465702</v>
      </c>
      <c r="F25" s="106">
        <f>1514225+868276-3833+30084+56950</f>
        <v>2465702</v>
      </c>
      <c r="G25" s="101"/>
      <c r="H25" s="101"/>
      <c r="I25" s="192"/>
      <c r="J25" s="70"/>
      <c r="K25" s="100"/>
      <c r="L25" s="99"/>
      <c r="M25" s="99"/>
      <c r="N25" s="99"/>
      <c r="O25" s="192"/>
      <c r="P25" s="119">
        <f t="shared" si="2"/>
        <v>2465702</v>
      </c>
      <c r="Q25" s="48"/>
      <c r="R25" s="7"/>
      <c r="S25" s="7"/>
      <c r="T25" s="7"/>
    </row>
    <row r="26" spans="1:20" ht="44.25" customHeight="1" x14ac:dyDescent="0.2">
      <c r="A26" s="199"/>
      <c r="B26" s="104"/>
      <c r="C26" s="104"/>
      <c r="D26" s="278" t="s">
        <v>146</v>
      </c>
      <c r="E26" s="70">
        <f t="shared" si="5"/>
        <v>1663407</v>
      </c>
      <c r="F26" s="106">
        <f>1675107-11700</f>
        <v>1663407</v>
      </c>
      <c r="G26" s="101"/>
      <c r="H26" s="101"/>
      <c r="I26" s="192"/>
      <c r="J26" s="70"/>
      <c r="K26" s="100"/>
      <c r="L26" s="99"/>
      <c r="M26" s="99"/>
      <c r="N26" s="99"/>
      <c r="O26" s="192"/>
      <c r="P26" s="119">
        <f t="shared" si="2"/>
        <v>1663407</v>
      </c>
      <c r="Q26" s="48"/>
      <c r="R26" s="7"/>
      <c r="S26" s="7"/>
      <c r="T26" s="7"/>
    </row>
    <row r="27" spans="1:20" ht="84" customHeight="1" x14ac:dyDescent="0.2">
      <c r="A27" s="199"/>
      <c r="B27" s="104"/>
      <c r="C27" s="104"/>
      <c r="D27" s="278" t="s">
        <v>240</v>
      </c>
      <c r="E27" s="70">
        <f>F27</f>
        <v>49150</v>
      </c>
      <c r="F27" s="106">
        <v>49150</v>
      </c>
      <c r="G27" s="101"/>
      <c r="H27" s="101"/>
      <c r="I27" s="192"/>
      <c r="J27" s="70"/>
      <c r="K27" s="100"/>
      <c r="L27" s="99"/>
      <c r="M27" s="99"/>
      <c r="N27" s="99"/>
      <c r="O27" s="192"/>
      <c r="P27" s="119">
        <f t="shared" si="2"/>
        <v>49150</v>
      </c>
      <c r="Q27" s="48"/>
      <c r="R27" s="7"/>
      <c r="S27" s="7"/>
      <c r="T27" s="7"/>
    </row>
    <row r="28" spans="1:20" ht="42.75" customHeight="1" x14ac:dyDescent="0.2">
      <c r="A28" s="198" t="s">
        <v>167</v>
      </c>
      <c r="B28" s="97" t="s">
        <v>168</v>
      </c>
      <c r="C28" s="97" t="s">
        <v>103</v>
      </c>
      <c r="D28" s="278" t="s">
        <v>169</v>
      </c>
      <c r="E28" s="70">
        <f t="shared" si="5"/>
        <v>104921</v>
      </c>
      <c r="F28" s="106">
        <f>F29+F30+F31+F32</f>
        <v>104921</v>
      </c>
      <c r="G28" s="101"/>
      <c r="H28" s="101"/>
      <c r="I28" s="192"/>
      <c r="J28" s="70"/>
      <c r="K28" s="100"/>
      <c r="L28" s="99"/>
      <c r="M28" s="99"/>
      <c r="N28" s="99"/>
      <c r="O28" s="192"/>
      <c r="P28" s="242">
        <f t="shared" si="2"/>
        <v>104921</v>
      </c>
      <c r="Q28" s="48"/>
      <c r="R28" s="7"/>
      <c r="S28" s="7"/>
      <c r="T28" s="7"/>
    </row>
    <row r="29" spans="1:20" ht="42.75" customHeight="1" x14ac:dyDescent="0.2">
      <c r="A29" s="198"/>
      <c r="B29" s="97"/>
      <c r="C29" s="97"/>
      <c r="D29" s="278" t="s">
        <v>143</v>
      </c>
      <c r="E29" s="70">
        <f t="shared" si="5"/>
        <v>25740</v>
      </c>
      <c r="F29" s="106">
        <v>25740</v>
      </c>
      <c r="G29" s="101"/>
      <c r="H29" s="101"/>
      <c r="I29" s="192"/>
      <c r="J29" s="70"/>
      <c r="K29" s="100"/>
      <c r="L29" s="99"/>
      <c r="M29" s="99"/>
      <c r="N29" s="99"/>
      <c r="O29" s="192"/>
      <c r="P29" s="119">
        <f t="shared" si="2"/>
        <v>25740</v>
      </c>
      <c r="Q29" s="48"/>
      <c r="R29" s="7"/>
      <c r="S29" s="7"/>
      <c r="T29" s="7"/>
    </row>
    <row r="30" spans="1:20" ht="42.75" customHeight="1" x14ac:dyDescent="0.2">
      <c r="A30" s="198"/>
      <c r="B30" s="97"/>
      <c r="C30" s="97"/>
      <c r="D30" s="278" t="s">
        <v>145</v>
      </c>
      <c r="E30" s="70">
        <f t="shared" si="5"/>
        <v>13661</v>
      </c>
      <c r="F30" s="106">
        <v>13661</v>
      </c>
      <c r="G30" s="101"/>
      <c r="H30" s="101"/>
      <c r="I30" s="192"/>
      <c r="J30" s="70"/>
      <c r="K30" s="100"/>
      <c r="L30" s="99"/>
      <c r="M30" s="99"/>
      <c r="N30" s="99"/>
      <c r="O30" s="192"/>
      <c r="P30" s="119">
        <f t="shared" si="2"/>
        <v>13661</v>
      </c>
      <c r="Q30" s="48"/>
      <c r="R30" s="7"/>
      <c r="S30" s="7"/>
      <c r="T30" s="7"/>
    </row>
    <row r="31" spans="1:20" ht="42.75" customHeight="1" x14ac:dyDescent="0.2">
      <c r="A31" s="198"/>
      <c r="B31" s="97"/>
      <c r="C31" s="97"/>
      <c r="D31" s="278" t="s">
        <v>156</v>
      </c>
      <c r="E31" s="70">
        <f t="shared" si="5"/>
        <v>53820</v>
      </c>
      <c r="F31" s="106">
        <v>53820</v>
      </c>
      <c r="G31" s="101"/>
      <c r="H31" s="101"/>
      <c r="I31" s="192"/>
      <c r="J31" s="70"/>
      <c r="K31" s="100"/>
      <c r="L31" s="99"/>
      <c r="M31" s="99"/>
      <c r="N31" s="99"/>
      <c r="O31" s="192"/>
      <c r="P31" s="119">
        <f t="shared" si="2"/>
        <v>53820</v>
      </c>
      <c r="Q31" s="48"/>
      <c r="R31" s="7"/>
      <c r="S31" s="7"/>
      <c r="T31" s="7"/>
    </row>
    <row r="32" spans="1:20" ht="42.75" customHeight="1" x14ac:dyDescent="0.2">
      <c r="A32" s="198"/>
      <c r="B32" s="97"/>
      <c r="C32" s="97"/>
      <c r="D32" s="278" t="s">
        <v>146</v>
      </c>
      <c r="E32" s="70">
        <f t="shared" si="5"/>
        <v>11700</v>
      </c>
      <c r="F32" s="106">
        <v>11700</v>
      </c>
      <c r="G32" s="101"/>
      <c r="H32" s="101"/>
      <c r="I32" s="192"/>
      <c r="J32" s="70"/>
      <c r="K32" s="100"/>
      <c r="L32" s="99"/>
      <c r="M32" s="99"/>
      <c r="N32" s="99"/>
      <c r="O32" s="192"/>
      <c r="P32" s="119">
        <f t="shared" si="2"/>
        <v>11700</v>
      </c>
      <c r="Q32" s="48"/>
      <c r="R32" s="7"/>
      <c r="S32" s="7"/>
      <c r="T32" s="7"/>
    </row>
    <row r="33" spans="1:20" ht="44.25" customHeight="1" x14ac:dyDescent="0.2">
      <c r="A33" s="198" t="s">
        <v>102</v>
      </c>
      <c r="B33" s="97" t="s">
        <v>104</v>
      </c>
      <c r="C33" s="97" t="s">
        <v>103</v>
      </c>
      <c r="D33" s="278" t="s">
        <v>157</v>
      </c>
      <c r="E33" s="70">
        <f t="shared" si="5"/>
        <v>907800</v>
      </c>
      <c r="F33" s="106">
        <f>F34+F35+F36+F37</f>
        <v>907800</v>
      </c>
      <c r="G33" s="101"/>
      <c r="H33" s="101"/>
      <c r="I33" s="220"/>
      <c r="J33" s="107"/>
      <c r="K33" s="108"/>
      <c r="L33" s="101"/>
      <c r="M33" s="101"/>
      <c r="N33" s="101"/>
      <c r="O33" s="220"/>
      <c r="P33" s="242">
        <f t="shared" si="2"/>
        <v>907800</v>
      </c>
      <c r="Q33" s="48"/>
      <c r="R33" s="7"/>
      <c r="S33" s="7"/>
      <c r="T33" s="7"/>
    </row>
    <row r="34" spans="1:20" ht="40.5" customHeight="1" x14ac:dyDescent="0.2">
      <c r="A34" s="198"/>
      <c r="B34" s="97"/>
      <c r="C34" s="97"/>
      <c r="D34" s="278" t="s">
        <v>143</v>
      </c>
      <c r="E34" s="70">
        <f t="shared" si="5"/>
        <v>140900</v>
      </c>
      <c r="F34" s="106">
        <v>140900</v>
      </c>
      <c r="G34" s="101"/>
      <c r="H34" s="101"/>
      <c r="I34" s="192"/>
      <c r="J34" s="70"/>
      <c r="K34" s="100"/>
      <c r="L34" s="99"/>
      <c r="M34" s="99"/>
      <c r="N34" s="99"/>
      <c r="O34" s="192"/>
      <c r="P34" s="119">
        <f t="shared" si="2"/>
        <v>140900</v>
      </c>
      <c r="Q34" s="48"/>
      <c r="R34" s="7"/>
      <c r="S34" s="7"/>
      <c r="T34" s="7"/>
    </row>
    <row r="35" spans="1:20" ht="44.25" customHeight="1" x14ac:dyDescent="0.2">
      <c r="A35" s="199"/>
      <c r="B35" s="104"/>
      <c r="C35" s="104"/>
      <c r="D35" s="278" t="s">
        <v>156</v>
      </c>
      <c r="E35" s="70">
        <f t="shared" si="5"/>
        <v>280000</v>
      </c>
      <c r="F35" s="106">
        <f>130000+150000</f>
        <v>280000</v>
      </c>
      <c r="G35" s="101"/>
      <c r="H35" s="101"/>
      <c r="I35" s="192"/>
      <c r="J35" s="70"/>
      <c r="K35" s="100"/>
      <c r="L35" s="99"/>
      <c r="M35" s="99"/>
      <c r="N35" s="99"/>
      <c r="O35" s="192"/>
      <c r="P35" s="119">
        <f t="shared" si="2"/>
        <v>280000</v>
      </c>
      <c r="Q35" s="48"/>
      <c r="R35" s="7"/>
      <c r="S35" s="7"/>
      <c r="T35" s="7"/>
    </row>
    <row r="36" spans="1:20" ht="39.75" customHeight="1" x14ac:dyDescent="0.2">
      <c r="A36" s="199"/>
      <c r="B36" s="104"/>
      <c r="C36" s="104"/>
      <c r="D36" s="278" t="s">
        <v>145</v>
      </c>
      <c r="E36" s="70">
        <f t="shared" si="5"/>
        <v>380000</v>
      </c>
      <c r="F36" s="106">
        <f>330000+50000</f>
        <v>380000</v>
      </c>
      <c r="G36" s="101"/>
      <c r="H36" s="101"/>
      <c r="I36" s="192"/>
      <c r="J36" s="70"/>
      <c r="K36" s="100"/>
      <c r="L36" s="99"/>
      <c r="M36" s="99"/>
      <c r="N36" s="99"/>
      <c r="O36" s="192"/>
      <c r="P36" s="119">
        <f t="shared" si="2"/>
        <v>380000</v>
      </c>
      <c r="Q36" s="48"/>
      <c r="R36" s="7"/>
      <c r="S36" s="7"/>
      <c r="T36" s="7"/>
    </row>
    <row r="37" spans="1:20" ht="45.75" customHeight="1" x14ac:dyDescent="0.2">
      <c r="A37" s="199"/>
      <c r="B37" s="104"/>
      <c r="C37" s="104"/>
      <c r="D37" s="278" t="s">
        <v>146</v>
      </c>
      <c r="E37" s="70">
        <f t="shared" si="5"/>
        <v>106900</v>
      </c>
      <c r="F37" s="106">
        <v>106900</v>
      </c>
      <c r="G37" s="101"/>
      <c r="H37" s="101"/>
      <c r="I37" s="192"/>
      <c r="J37" s="70"/>
      <c r="K37" s="100"/>
      <c r="L37" s="99"/>
      <c r="M37" s="99"/>
      <c r="N37" s="99"/>
      <c r="O37" s="192"/>
      <c r="P37" s="119">
        <f t="shared" si="2"/>
        <v>106900</v>
      </c>
      <c r="Q37" s="48"/>
      <c r="R37" s="7"/>
      <c r="S37" s="7"/>
      <c r="T37" s="7"/>
    </row>
    <row r="38" spans="1:20" ht="42.75" customHeight="1" x14ac:dyDescent="0.2">
      <c r="A38" s="198" t="s">
        <v>56</v>
      </c>
      <c r="B38" s="97" t="s">
        <v>57</v>
      </c>
      <c r="C38" s="97" t="s">
        <v>63</v>
      </c>
      <c r="D38" s="278" t="s">
        <v>64</v>
      </c>
      <c r="E38" s="109">
        <f t="shared" ref="E38:E41" si="6">F38</f>
        <v>441.22999999999956</v>
      </c>
      <c r="F38" s="110">
        <f>10800-10358.77</f>
        <v>441.22999999999956</v>
      </c>
      <c r="G38" s="111"/>
      <c r="H38" s="111"/>
      <c r="I38" s="221"/>
      <c r="J38" s="112"/>
      <c r="K38" s="113"/>
      <c r="L38" s="111"/>
      <c r="M38" s="111"/>
      <c r="N38" s="111"/>
      <c r="O38" s="221"/>
      <c r="P38" s="243">
        <f t="shared" si="2"/>
        <v>441.22999999999956</v>
      </c>
      <c r="Q38" s="48"/>
      <c r="R38" s="7"/>
      <c r="S38" s="7"/>
      <c r="T38" s="7"/>
    </row>
    <row r="39" spans="1:20" ht="86.25" customHeight="1" x14ac:dyDescent="0.2">
      <c r="A39" s="198" t="s">
        <v>68</v>
      </c>
      <c r="B39" s="97" t="s">
        <v>69</v>
      </c>
      <c r="C39" s="97" t="s">
        <v>15</v>
      </c>
      <c r="D39" s="278" t="s">
        <v>75</v>
      </c>
      <c r="E39" s="109">
        <f t="shared" si="6"/>
        <v>1127.28</v>
      </c>
      <c r="F39" s="114">
        <f>2300-1172.72</f>
        <v>1127.28</v>
      </c>
      <c r="G39" s="99"/>
      <c r="H39" s="99"/>
      <c r="I39" s="192"/>
      <c r="J39" s="70"/>
      <c r="K39" s="106"/>
      <c r="L39" s="99"/>
      <c r="M39" s="99"/>
      <c r="N39" s="99"/>
      <c r="O39" s="192"/>
      <c r="P39" s="244">
        <f t="shared" si="2"/>
        <v>1127.28</v>
      </c>
      <c r="Q39" s="48"/>
      <c r="R39" s="7"/>
      <c r="S39" s="7"/>
      <c r="T39" s="7"/>
    </row>
    <row r="40" spans="1:20" ht="108" customHeight="1" x14ac:dyDescent="0.2">
      <c r="A40" s="198" t="s">
        <v>58</v>
      </c>
      <c r="B40" s="97" t="s">
        <v>59</v>
      </c>
      <c r="C40" s="97" t="s">
        <v>62</v>
      </c>
      <c r="D40" s="278" t="s">
        <v>65</v>
      </c>
      <c r="E40" s="109">
        <f t="shared" si="6"/>
        <v>2510.2199999999993</v>
      </c>
      <c r="F40" s="115">
        <f>16039-13528.78</f>
        <v>2510.2199999999993</v>
      </c>
      <c r="G40" s="116"/>
      <c r="H40" s="116"/>
      <c r="I40" s="222"/>
      <c r="J40" s="117"/>
      <c r="K40" s="118"/>
      <c r="L40" s="116"/>
      <c r="M40" s="116"/>
      <c r="N40" s="116"/>
      <c r="O40" s="222"/>
      <c r="P40" s="245">
        <f t="shared" si="2"/>
        <v>2510.2199999999993</v>
      </c>
      <c r="Q40" s="48"/>
      <c r="R40" s="7"/>
      <c r="S40" s="7"/>
      <c r="T40" s="7"/>
    </row>
    <row r="41" spans="1:20" ht="42.75" customHeight="1" x14ac:dyDescent="0.2">
      <c r="A41" s="198" t="s">
        <v>23</v>
      </c>
      <c r="B41" s="97" t="s">
        <v>24</v>
      </c>
      <c r="C41" s="97" t="s">
        <v>16</v>
      </c>
      <c r="D41" s="284" t="s">
        <v>148</v>
      </c>
      <c r="E41" s="119">
        <f t="shared" si="6"/>
        <v>17500</v>
      </c>
      <c r="F41" s="66">
        <f>F42+F43+F44</f>
        <v>17500</v>
      </c>
      <c r="G41" s="99"/>
      <c r="H41" s="99"/>
      <c r="I41" s="192"/>
      <c r="J41" s="70"/>
      <c r="K41" s="106"/>
      <c r="L41" s="99"/>
      <c r="M41" s="99"/>
      <c r="N41" s="99"/>
      <c r="O41" s="192"/>
      <c r="P41" s="242">
        <f t="shared" si="2"/>
        <v>17500</v>
      </c>
      <c r="Q41" s="48"/>
      <c r="R41" s="7"/>
      <c r="S41" s="7"/>
      <c r="T41" s="7"/>
    </row>
    <row r="42" spans="1:20" ht="63.75" customHeight="1" x14ac:dyDescent="0.2">
      <c r="A42" s="198"/>
      <c r="B42" s="97"/>
      <c r="C42" s="97"/>
      <c r="D42" s="284" t="s">
        <v>112</v>
      </c>
      <c r="E42" s="119">
        <f t="shared" ref="E42:E44" si="7">F42</f>
        <v>5000</v>
      </c>
      <c r="F42" s="66">
        <f>60000-55000</f>
        <v>5000</v>
      </c>
      <c r="G42" s="99"/>
      <c r="H42" s="99"/>
      <c r="I42" s="192"/>
      <c r="J42" s="70"/>
      <c r="K42" s="106"/>
      <c r="L42" s="99"/>
      <c r="M42" s="99"/>
      <c r="N42" s="99"/>
      <c r="O42" s="192"/>
      <c r="P42" s="119">
        <f t="shared" si="2"/>
        <v>5000</v>
      </c>
      <c r="Q42" s="48"/>
      <c r="R42" s="7"/>
      <c r="S42" s="7"/>
      <c r="T42" s="7"/>
    </row>
    <row r="43" spans="1:20" ht="107.25" customHeight="1" x14ac:dyDescent="0.2">
      <c r="A43" s="198"/>
      <c r="B43" s="97"/>
      <c r="C43" s="97"/>
      <c r="D43" s="284" t="s">
        <v>113</v>
      </c>
      <c r="E43" s="119">
        <f t="shared" si="7"/>
        <v>5800</v>
      </c>
      <c r="F43" s="66">
        <v>5800</v>
      </c>
      <c r="G43" s="99"/>
      <c r="H43" s="99"/>
      <c r="I43" s="192"/>
      <c r="J43" s="70"/>
      <c r="K43" s="106"/>
      <c r="L43" s="99"/>
      <c r="M43" s="99"/>
      <c r="N43" s="99"/>
      <c r="O43" s="192"/>
      <c r="P43" s="119">
        <f t="shared" si="2"/>
        <v>5800</v>
      </c>
      <c r="Q43" s="48"/>
      <c r="R43" s="7"/>
      <c r="S43" s="7"/>
      <c r="T43" s="7"/>
    </row>
    <row r="44" spans="1:20" ht="47.25" customHeight="1" x14ac:dyDescent="0.2">
      <c r="A44" s="198"/>
      <c r="B44" s="97"/>
      <c r="C44" s="97"/>
      <c r="D44" s="278" t="s">
        <v>143</v>
      </c>
      <c r="E44" s="119">
        <f t="shared" si="7"/>
        <v>6700</v>
      </c>
      <c r="F44" s="66">
        <f>13700-7000</f>
        <v>6700</v>
      </c>
      <c r="G44" s="99"/>
      <c r="H44" s="99"/>
      <c r="I44" s="192"/>
      <c r="J44" s="70"/>
      <c r="K44" s="106"/>
      <c r="L44" s="99"/>
      <c r="M44" s="99"/>
      <c r="N44" s="99"/>
      <c r="O44" s="192"/>
      <c r="P44" s="119">
        <f t="shared" si="2"/>
        <v>6700</v>
      </c>
      <c r="Q44" s="48"/>
      <c r="R44" s="7"/>
      <c r="S44" s="7"/>
      <c r="T44" s="7"/>
    </row>
    <row r="45" spans="1:20" ht="80.25" customHeight="1" x14ac:dyDescent="0.2">
      <c r="A45" s="198" t="s">
        <v>140</v>
      </c>
      <c r="B45" s="97" t="s">
        <v>109</v>
      </c>
      <c r="C45" s="97" t="s">
        <v>16</v>
      </c>
      <c r="D45" s="284" t="s">
        <v>149</v>
      </c>
      <c r="E45" s="119">
        <f>F45</f>
        <v>83802</v>
      </c>
      <c r="F45" s="66">
        <f>F46+F47+F48</f>
        <v>83802</v>
      </c>
      <c r="G45" s="99"/>
      <c r="H45" s="99"/>
      <c r="I45" s="192"/>
      <c r="J45" s="70"/>
      <c r="K45" s="106"/>
      <c r="L45" s="99"/>
      <c r="M45" s="99"/>
      <c r="N45" s="99"/>
      <c r="O45" s="192"/>
      <c r="P45" s="242">
        <f t="shared" si="2"/>
        <v>83802</v>
      </c>
      <c r="Q45" s="48"/>
      <c r="R45" s="7"/>
      <c r="S45" s="7"/>
      <c r="T45" s="7"/>
    </row>
    <row r="46" spans="1:20" ht="45.75" customHeight="1" x14ac:dyDescent="0.2">
      <c r="A46" s="198"/>
      <c r="B46" s="97"/>
      <c r="C46" s="97"/>
      <c r="D46" s="278" t="s">
        <v>143</v>
      </c>
      <c r="E46" s="119">
        <f t="shared" ref="E46:E49" si="8">F46</f>
        <v>33802</v>
      </c>
      <c r="F46" s="66">
        <v>33802</v>
      </c>
      <c r="G46" s="99"/>
      <c r="H46" s="99"/>
      <c r="I46" s="192"/>
      <c r="J46" s="70"/>
      <c r="K46" s="106"/>
      <c r="L46" s="99"/>
      <c r="M46" s="99"/>
      <c r="N46" s="99"/>
      <c r="O46" s="192"/>
      <c r="P46" s="119">
        <f t="shared" si="2"/>
        <v>33802</v>
      </c>
      <c r="Q46" s="48"/>
      <c r="R46" s="7"/>
      <c r="S46" s="7"/>
      <c r="T46" s="7"/>
    </row>
    <row r="47" spans="1:20" ht="41.25" customHeight="1" x14ac:dyDescent="0.2">
      <c r="A47" s="198"/>
      <c r="B47" s="97"/>
      <c r="C47" s="97"/>
      <c r="D47" s="278" t="s">
        <v>146</v>
      </c>
      <c r="E47" s="119">
        <f t="shared" si="8"/>
        <v>20000</v>
      </c>
      <c r="F47" s="66">
        <v>20000</v>
      </c>
      <c r="G47" s="99"/>
      <c r="H47" s="99"/>
      <c r="I47" s="192"/>
      <c r="J47" s="70"/>
      <c r="K47" s="106"/>
      <c r="L47" s="99"/>
      <c r="M47" s="99"/>
      <c r="N47" s="99"/>
      <c r="O47" s="192"/>
      <c r="P47" s="119">
        <f t="shared" si="2"/>
        <v>20000</v>
      </c>
      <c r="Q47" s="48"/>
      <c r="R47" s="7"/>
      <c r="S47" s="7"/>
      <c r="T47" s="7"/>
    </row>
    <row r="48" spans="1:20" ht="41.25" customHeight="1" x14ac:dyDescent="0.2">
      <c r="A48" s="198"/>
      <c r="B48" s="97"/>
      <c r="C48" s="97"/>
      <c r="D48" s="278" t="s">
        <v>145</v>
      </c>
      <c r="E48" s="119">
        <f t="shared" si="8"/>
        <v>30000</v>
      </c>
      <c r="F48" s="66">
        <v>30000</v>
      </c>
      <c r="G48" s="99"/>
      <c r="H48" s="99"/>
      <c r="I48" s="192"/>
      <c r="J48" s="70"/>
      <c r="K48" s="106"/>
      <c r="L48" s="99"/>
      <c r="M48" s="99"/>
      <c r="N48" s="99"/>
      <c r="O48" s="192"/>
      <c r="P48" s="119">
        <f t="shared" si="2"/>
        <v>30000</v>
      </c>
      <c r="Q48" s="48"/>
      <c r="R48" s="7"/>
      <c r="S48" s="7"/>
      <c r="T48" s="7"/>
    </row>
    <row r="49" spans="1:20" ht="43.5" customHeight="1" x14ac:dyDescent="0.2">
      <c r="A49" s="198" t="s">
        <v>25</v>
      </c>
      <c r="B49" s="97" t="s">
        <v>26</v>
      </c>
      <c r="C49" s="97" t="s">
        <v>17</v>
      </c>
      <c r="D49" s="278" t="s">
        <v>27</v>
      </c>
      <c r="E49" s="119">
        <f t="shared" si="8"/>
        <v>204000</v>
      </c>
      <c r="F49" s="66">
        <v>204000</v>
      </c>
      <c r="G49" s="99"/>
      <c r="H49" s="99"/>
      <c r="I49" s="192"/>
      <c r="J49" s="70"/>
      <c r="K49" s="106"/>
      <c r="L49" s="99"/>
      <c r="M49" s="99"/>
      <c r="N49" s="99"/>
      <c r="O49" s="192"/>
      <c r="P49" s="242">
        <f t="shared" si="2"/>
        <v>204000</v>
      </c>
      <c r="Q49" s="48"/>
      <c r="R49" s="7"/>
      <c r="S49" s="7"/>
      <c r="T49" s="7"/>
    </row>
    <row r="50" spans="1:20" ht="45" customHeight="1" x14ac:dyDescent="0.2">
      <c r="A50" s="198" t="s">
        <v>116</v>
      </c>
      <c r="B50" s="97" t="s">
        <v>115</v>
      </c>
      <c r="C50" s="97" t="s">
        <v>10</v>
      </c>
      <c r="D50" s="278" t="s">
        <v>117</v>
      </c>
      <c r="E50" s="120">
        <f t="shared" ref="E50:E57" si="9">F50</f>
        <v>195026</v>
      </c>
      <c r="F50" s="66">
        <f>1040000-360217-277704-207053</f>
        <v>195026</v>
      </c>
      <c r="G50" s="99"/>
      <c r="H50" s="99"/>
      <c r="I50" s="192"/>
      <c r="J50" s="70"/>
      <c r="K50" s="106"/>
      <c r="L50" s="99"/>
      <c r="M50" s="99"/>
      <c r="N50" s="99"/>
      <c r="O50" s="192"/>
      <c r="P50" s="242">
        <f t="shared" si="2"/>
        <v>195026</v>
      </c>
      <c r="Q50" s="48"/>
      <c r="R50" s="7"/>
      <c r="S50" s="7"/>
      <c r="T50" s="7"/>
    </row>
    <row r="51" spans="1:20" ht="28.5" customHeight="1" x14ac:dyDescent="0.2">
      <c r="A51" s="198" t="s">
        <v>28</v>
      </c>
      <c r="B51" s="97" t="s">
        <v>29</v>
      </c>
      <c r="C51" s="97" t="s">
        <v>10</v>
      </c>
      <c r="D51" s="278" t="s">
        <v>30</v>
      </c>
      <c r="E51" s="120">
        <f t="shared" si="9"/>
        <v>4252510</v>
      </c>
      <c r="F51" s="66">
        <f>5000000+522542+47944-851511-458864-133601+126000</f>
        <v>4252510</v>
      </c>
      <c r="G51" s="63"/>
      <c r="H51" s="63">
        <f>606405+13221+70000</f>
        <v>689626</v>
      </c>
      <c r="I51" s="192"/>
      <c r="J51" s="70">
        <f>K51</f>
        <v>223240</v>
      </c>
      <c r="K51" s="106">
        <f>49240+300000-126000</f>
        <v>223240</v>
      </c>
      <c r="L51" s="99"/>
      <c r="M51" s="99"/>
      <c r="N51" s="99"/>
      <c r="O51" s="192">
        <f>J51</f>
        <v>223240</v>
      </c>
      <c r="P51" s="242">
        <f t="shared" si="2"/>
        <v>4475750</v>
      </c>
      <c r="Q51" s="48"/>
      <c r="R51" s="7"/>
      <c r="S51" s="7"/>
      <c r="T51" s="7"/>
    </row>
    <row r="52" spans="1:20" ht="28.5" customHeight="1" x14ac:dyDescent="0.2">
      <c r="A52" s="198" t="s">
        <v>152</v>
      </c>
      <c r="B52" s="97" t="s">
        <v>153</v>
      </c>
      <c r="C52" s="97" t="s">
        <v>154</v>
      </c>
      <c r="D52" s="278" t="s">
        <v>155</v>
      </c>
      <c r="E52" s="120">
        <f t="shared" si="9"/>
        <v>233716</v>
      </c>
      <c r="F52" s="66">
        <f>262600-48884+10000+10000</f>
        <v>233716</v>
      </c>
      <c r="G52" s="63"/>
      <c r="H52" s="63"/>
      <c r="I52" s="192"/>
      <c r="J52" s="70">
        <f>K52</f>
        <v>1000</v>
      </c>
      <c r="K52" s="106">
        <v>1000</v>
      </c>
      <c r="L52" s="99"/>
      <c r="M52" s="99"/>
      <c r="N52" s="99"/>
      <c r="O52" s="192">
        <f>K52</f>
        <v>1000</v>
      </c>
      <c r="P52" s="242">
        <f t="shared" si="2"/>
        <v>234716</v>
      </c>
      <c r="Q52" s="48"/>
      <c r="R52" s="7"/>
      <c r="S52" s="7"/>
      <c r="T52" s="7"/>
    </row>
    <row r="53" spans="1:20" ht="28.5" customHeight="1" x14ac:dyDescent="0.2">
      <c r="A53" s="198" t="s">
        <v>170</v>
      </c>
      <c r="B53" s="97" t="s">
        <v>171</v>
      </c>
      <c r="C53" s="97" t="s">
        <v>172</v>
      </c>
      <c r="D53" s="278" t="s">
        <v>173</v>
      </c>
      <c r="E53" s="120">
        <f t="shared" si="9"/>
        <v>0</v>
      </c>
      <c r="F53" s="66"/>
      <c r="G53" s="63"/>
      <c r="H53" s="63"/>
      <c r="I53" s="192"/>
      <c r="J53" s="70">
        <f>K53</f>
        <v>374619</v>
      </c>
      <c r="K53" s="106">
        <f>97240+25579+251800</f>
        <v>374619</v>
      </c>
      <c r="L53" s="99"/>
      <c r="M53" s="99"/>
      <c r="N53" s="99"/>
      <c r="O53" s="192">
        <f>J53</f>
        <v>374619</v>
      </c>
      <c r="P53" s="242">
        <f t="shared" si="2"/>
        <v>374619</v>
      </c>
      <c r="Q53" s="48"/>
      <c r="R53" s="7"/>
      <c r="S53" s="7"/>
      <c r="T53" s="7"/>
    </row>
    <row r="54" spans="1:20" ht="36.75" customHeight="1" x14ac:dyDescent="0.2">
      <c r="A54" s="293" t="s">
        <v>237</v>
      </c>
      <c r="B54" s="294">
        <v>7325</v>
      </c>
      <c r="C54" s="295" t="s">
        <v>172</v>
      </c>
      <c r="D54" s="296" t="s">
        <v>230</v>
      </c>
      <c r="E54" s="120"/>
      <c r="F54" s="66"/>
      <c r="G54" s="63"/>
      <c r="H54" s="63"/>
      <c r="I54" s="192"/>
      <c r="J54" s="70">
        <f>K54</f>
        <v>48200</v>
      </c>
      <c r="K54" s="106">
        <v>48200</v>
      </c>
      <c r="L54" s="99"/>
      <c r="M54" s="99"/>
      <c r="N54" s="99"/>
      <c r="O54" s="192">
        <f>K54</f>
        <v>48200</v>
      </c>
      <c r="P54" s="242">
        <f>O54</f>
        <v>48200</v>
      </c>
      <c r="Q54" s="48"/>
      <c r="R54" s="7"/>
      <c r="S54" s="7"/>
      <c r="T54" s="7"/>
    </row>
    <row r="55" spans="1:20" ht="39.950000000000003" customHeight="1" x14ac:dyDescent="0.2">
      <c r="A55" s="198" t="s">
        <v>208</v>
      </c>
      <c r="B55" s="97" t="s">
        <v>209</v>
      </c>
      <c r="C55" s="97" t="s">
        <v>172</v>
      </c>
      <c r="D55" s="278" t="s">
        <v>211</v>
      </c>
      <c r="E55" s="120"/>
      <c r="F55" s="66"/>
      <c r="G55" s="63"/>
      <c r="H55" s="63"/>
      <c r="I55" s="192"/>
      <c r="J55" s="70">
        <f>L55+O55</f>
        <v>48884</v>
      </c>
      <c r="K55" s="106">
        <f>O55</f>
        <v>48884</v>
      </c>
      <c r="L55" s="99"/>
      <c r="M55" s="99"/>
      <c r="N55" s="99"/>
      <c r="O55" s="192">
        <v>48884</v>
      </c>
      <c r="P55" s="242">
        <f t="shared" si="2"/>
        <v>48884</v>
      </c>
      <c r="Q55" s="48"/>
      <c r="R55" s="7"/>
      <c r="S55" s="7"/>
      <c r="T55" s="7"/>
    </row>
    <row r="56" spans="1:20" ht="62.1" customHeight="1" x14ac:dyDescent="0.2">
      <c r="A56" s="198" t="s">
        <v>212</v>
      </c>
      <c r="B56" s="97" t="s">
        <v>213</v>
      </c>
      <c r="C56" s="97" t="s">
        <v>120</v>
      </c>
      <c r="D56" s="278" t="s">
        <v>220</v>
      </c>
      <c r="E56" s="120"/>
      <c r="F56" s="66"/>
      <c r="G56" s="63"/>
      <c r="H56" s="63"/>
      <c r="I56" s="192"/>
      <c r="J56" s="70">
        <f>L56+O56</f>
        <v>5241175</v>
      </c>
      <c r="K56" s="106">
        <f>O56</f>
        <v>5241175</v>
      </c>
      <c r="L56" s="99"/>
      <c r="M56" s="99"/>
      <c r="N56" s="99"/>
      <c r="O56" s="192">
        <f>675000+4566175</f>
        <v>5241175</v>
      </c>
      <c r="P56" s="242">
        <f t="shared" si="2"/>
        <v>5241175</v>
      </c>
      <c r="Q56" s="48"/>
      <c r="R56" s="7"/>
      <c r="S56" s="7"/>
      <c r="T56" s="7"/>
    </row>
    <row r="57" spans="1:20" ht="42.75" customHeight="1" x14ac:dyDescent="0.2">
      <c r="A57" s="198" t="s">
        <v>118</v>
      </c>
      <c r="B57" s="97" t="s">
        <v>119</v>
      </c>
      <c r="C57" s="97" t="s">
        <v>120</v>
      </c>
      <c r="D57" s="278" t="s">
        <v>125</v>
      </c>
      <c r="E57" s="120">
        <f t="shared" si="9"/>
        <v>479858</v>
      </c>
      <c r="F57" s="66">
        <f>103600+15469+36756+214292+55945+29810+23986</f>
        <v>479858</v>
      </c>
      <c r="G57" s="63"/>
      <c r="H57" s="63"/>
      <c r="I57" s="192"/>
      <c r="J57" s="70">
        <f>K57</f>
        <v>2319881</v>
      </c>
      <c r="K57" s="106">
        <f>1100000+821023+87321+22800+77307+198000+13430</f>
        <v>2319881</v>
      </c>
      <c r="L57" s="99"/>
      <c r="M57" s="99"/>
      <c r="N57" s="99"/>
      <c r="O57" s="192">
        <f>J57</f>
        <v>2319881</v>
      </c>
      <c r="P57" s="242">
        <f t="shared" si="2"/>
        <v>2799739</v>
      </c>
      <c r="Q57" s="48"/>
      <c r="R57" s="7"/>
      <c r="S57" s="7"/>
      <c r="T57" s="7"/>
    </row>
    <row r="58" spans="1:20" ht="60" customHeight="1" x14ac:dyDescent="0.2">
      <c r="A58" s="281" t="s">
        <v>222</v>
      </c>
      <c r="B58" s="282" t="s">
        <v>223</v>
      </c>
      <c r="C58" s="282" t="s">
        <v>224</v>
      </c>
      <c r="D58" s="285" t="s">
        <v>225</v>
      </c>
      <c r="E58" s="120"/>
      <c r="F58" s="66"/>
      <c r="G58" s="63"/>
      <c r="H58" s="63"/>
      <c r="I58" s="192"/>
      <c r="J58" s="70">
        <f>K58</f>
        <v>829226</v>
      </c>
      <c r="K58" s="106">
        <f>117660+39+711527</f>
        <v>829226</v>
      </c>
      <c r="L58" s="99"/>
      <c r="M58" s="99"/>
      <c r="N58" s="99"/>
      <c r="O58" s="192">
        <f>K58</f>
        <v>829226</v>
      </c>
      <c r="P58" s="242">
        <f>O58</f>
        <v>829226</v>
      </c>
      <c r="Q58" s="48"/>
      <c r="R58" s="7"/>
      <c r="S58" s="7"/>
      <c r="T58" s="7"/>
    </row>
    <row r="59" spans="1:20" ht="42.75" customHeight="1" x14ac:dyDescent="0.2">
      <c r="A59" s="198" t="s">
        <v>214</v>
      </c>
      <c r="B59" s="97" t="s">
        <v>215</v>
      </c>
      <c r="C59" s="97" t="s">
        <v>120</v>
      </c>
      <c r="D59" s="278" t="s">
        <v>216</v>
      </c>
      <c r="E59" s="120"/>
      <c r="F59" s="66"/>
      <c r="G59" s="63"/>
      <c r="H59" s="63"/>
      <c r="I59" s="192"/>
      <c r="J59" s="70">
        <f>L59+O59</f>
        <v>10100</v>
      </c>
      <c r="K59" s="106">
        <f>O59</f>
        <v>10100</v>
      </c>
      <c r="L59" s="99"/>
      <c r="M59" s="99"/>
      <c r="N59" s="99"/>
      <c r="O59" s="192">
        <v>10100</v>
      </c>
      <c r="P59" s="242">
        <f t="shared" si="2"/>
        <v>10100</v>
      </c>
      <c r="Q59" s="48"/>
      <c r="R59" s="7"/>
      <c r="S59" s="7"/>
      <c r="T59" s="7"/>
    </row>
    <row r="60" spans="1:20" ht="42.75" customHeight="1" x14ac:dyDescent="0.2">
      <c r="A60" s="198" t="s">
        <v>232</v>
      </c>
      <c r="B60" s="97" t="s">
        <v>233</v>
      </c>
      <c r="C60" s="97" t="s">
        <v>120</v>
      </c>
      <c r="D60" s="291" t="s">
        <v>234</v>
      </c>
      <c r="E60" s="120">
        <f>F60</f>
        <v>8109</v>
      </c>
      <c r="F60" s="66">
        <v>8109</v>
      </c>
      <c r="G60" s="63"/>
      <c r="H60" s="63"/>
      <c r="I60" s="192"/>
      <c r="J60" s="70"/>
      <c r="K60" s="106"/>
      <c r="L60" s="99"/>
      <c r="M60" s="99"/>
      <c r="N60" s="99"/>
      <c r="O60" s="192"/>
      <c r="P60" s="242">
        <f t="shared" si="2"/>
        <v>8109</v>
      </c>
      <c r="Q60" s="48"/>
      <c r="R60" s="7"/>
      <c r="S60" s="7"/>
      <c r="T60" s="7"/>
    </row>
    <row r="61" spans="1:20" ht="45.75" customHeight="1" x14ac:dyDescent="0.2">
      <c r="A61" s="198" t="s">
        <v>32</v>
      </c>
      <c r="B61" s="97" t="s">
        <v>33</v>
      </c>
      <c r="C61" s="97" t="s">
        <v>34</v>
      </c>
      <c r="D61" s="278" t="s">
        <v>210</v>
      </c>
      <c r="E61" s="70">
        <f>200000-198000</f>
        <v>2000</v>
      </c>
      <c r="F61" s="66">
        <f>E61</f>
        <v>2000</v>
      </c>
      <c r="G61" s="101"/>
      <c r="H61" s="101"/>
      <c r="I61" s="192"/>
      <c r="J61" s="70"/>
      <c r="K61" s="100"/>
      <c r="L61" s="99"/>
      <c r="M61" s="99"/>
      <c r="N61" s="99"/>
      <c r="O61" s="192"/>
      <c r="P61" s="242">
        <f t="shared" ref="P61" si="10">E61+J61</f>
        <v>2000</v>
      </c>
      <c r="Q61" s="48"/>
      <c r="R61" s="7"/>
      <c r="S61" s="7"/>
      <c r="T61" s="7"/>
    </row>
    <row r="62" spans="1:20" ht="46.5" customHeight="1" thickBot="1" x14ac:dyDescent="0.25">
      <c r="A62" s="200" t="s">
        <v>121</v>
      </c>
      <c r="B62" s="283" t="s">
        <v>122</v>
      </c>
      <c r="C62" s="283" t="s">
        <v>123</v>
      </c>
      <c r="D62" s="286" t="s">
        <v>124</v>
      </c>
      <c r="E62" s="122"/>
      <c r="F62" s="123"/>
      <c r="G62" s="124"/>
      <c r="H62" s="124"/>
      <c r="I62" s="223"/>
      <c r="J62" s="344">
        <v>40000</v>
      </c>
      <c r="K62" s="71"/>
      <c r="L62" s="126">
        <v>40000</v>
      </c>
      <c r="M62" s="126"/>
      <c r="N62" s="126"/>
      <c r="O62" s="223"/>
      <c r="P62" s="246">
        <f t="shared" si="2"/>
        <v>40000</v>
      </c>
      <c r="Q62" s="48"/>
      <c r="R62" s="7"/>
      <c r="S62" s="7"/>
      <c r="T62" s="7"/>
    </row>
    <row r="63" spans="1:20" s="3" customFormat="1" ht="48" customHeight="1" x14ac:dyDescent="0.2">
      <c r="A63" s="201" t="s">
        <v>51</v>
      </c>
      <c r="B63" s="128"/>
      <c r="C63" s="129"/>
      <c r="D63" s="212" t="s">
        <v>96</v>
      </c>
      <c r="E63" s="130">
        <f>E64</f>
        <v>46951734</v>
      </c>
      <c r="F63" s="131">
        <f t="shared" ref="F63:G63" si="11">F64</f>
        <v>46951734</v>
      </c>
      <c r="G63" s="132">
        <f t="shared" si="11"/>
        <v>33112857</v>
      </c>
      <c r="H63" s="132">
        <f t="shared" ref="H63:O63" si="12">H64</f>
        <v>2160491</v>
      </c>
      <c r="I63" s="224">
        <f t="shared" si="12"/>
        <v>0</v>
      </c>
      <c r="J63" s="133">
        <f t="shared" si="12"/>
        <v>8570886</v>
      </c>
      <c r="K63" s="134">
        <f t="shared" si="12"/>
        <v>7920066</v>
      </c>
      <c r="L63" s="135">
        <f t="shared" si="12"/>
        <v>650820</v>
      </c>
      <c r="M63" s="136">
        <f t="shared" si="12"/>
        <v>38500</v>
      </c>
      <c r="N63" s="136">
        <f t="shared" si="12"/>
        <v>21580</v>
      </c>
      <c r="O63" s="235">
        <f t="shared" si="12"/>
        <v>7920066</v>
      </c>
      <c r="P63" s="164">
        <f>E63+J63</f>
        <v>55522620</v>
      </c>
      <c r="Q63" s="48"/>
    </row>
    <row r="64" spans="1:20" s="3" customFormat="1" ht="45.75" customHeight="1" thickBot="1" x14ac:dyDescent="0.25">
      <c r="A64" s="202" t="s">
        <v>39</v>
      </c>
      <c r="B64" s="138"/>
      <c r="C64" s="139"/>
      <c r="D64" s="213" t="s">
        <v>96</v>
      </c>
      <c r="E64" s="140">
        <f>E65+E66+E68+E71+E75+E76+E81+E82+E87+E92+E93+E90+E91+E74+E96+E89+E88</f>
        <v>46951734</v>
      </c>
      <c r="F64" s="215">
        <f>F65+F66+F68+F71+F75+F76+F81+F82+F87+F92+F93+F90+F91+F74+F96+F89+F88</f>
        <v>46951734</v>
      </c>
      <c r="G64" s="140">
        <f>G65+G66+G68+G71+G75+G76+G81+G82+G87+G92+G93+G90+G91+G74</f>
        <v>33112857</v>
      </c>
      <c r="H64" s="140">
        <f>H65+H66+H68+H71+H75+H76+H81+H82+H87+H92+H93+H90+H91</f>
        <v>2160491</v>
      </c>
      <c r="I64" s="225">
        <f>I65+I66+I68+I71+I75+I76+I81+I82+I87+I92+I93+I90+I91</f>
        <v>0</v>
      </c>
      <c r="J64" s="140">
        <f>J65+J66+J68+J71+J74+J75+J76+J81+J82+J87+J90+J91+J92+J93+J95+J88+J94+J89</f>
        <v>8570886</v>
      </c>
      <c r="K64" s="215">
        <f>K65+K66+K68+K71+K74+K75+K76+K81+K82+K87+K90+K91+K92+K93+K95+K88+K94+K89</f>
        <v>7920066</v>
      </c>
      <c r="L64" s="140">
        <f>L65+L66+L68+L71+L75+L76+L81+L82+L87+L92+L93+L90+L91</f>
        <v>650820</v>
      </c>
      <c r="M64" s="140">
        <f>M65+M66+M68+M71+M75+M76+M81+M82+M87+M92+M93+M90+M91</f>
        <v>38500</v>
      </c>
      <c r="N64" s="140">
        <f>N65+N66+N68+N71+N75+N76+N81+N82+N87+N92+N93+N90+N91</f>
        <v>21580</v>
      </c>
      <c r="O64" s="225">
        <f>O65+O66+O68+O71+O75+O76+O81+O82+O87+O92+O93+O90+O91+O74+O95+O88+O94+O89</f>
        <v>7920066</v>
      </c>
      <c r="P64" s="140">
        <f>P65+P66+P68+P71+P75+P76+P81+P82+P87+P92+P93+P90+P91+P74++P88+P95+P94+P96+P89</f>
        <v>55522620</v>
      </c>
      <c r="Q64" s="48"/>
    </row>
    <row r="65" spans="1:17" s="3" customFormat="1" ht="66.75" customHeight="1" x14ac:dyDescent="0.2">
      <c r="A65" s="197" t="s">
        <v>35</v>
      </c>
      <c r="B65" s="276" t="s">
        <v>36</v>
      </c>
      <c r="C65" s="298" t="s">
        <v>5</v>
      </c>
      <c r="D65" s="252" t="s">
        <v>76</v>
      </c>
      <c r="E65" s="141">
        <f>F65</f>
        <v>1945386</v>
      </c>
      <c r="F65" s="142">
        <f>1522955+231040-14340+4600+201131</f>
        <v>1945386</v>
      </c>
      <c r="G65" s="93">
        <f>1171983+189377+98000</f>
        <v>1459360</v>
      </c>
      <c r="H65" s="93"/>
      <c r="I65" s="226"/>
      <c r="J65" s="94">
        <f>K65</f>
        <v>43240</v>
      </c>
      <c r="K65" s="143">
        <f>14340+28900</f>
        <v>43240</v>
      </c>
      <c r="L65" s="96"/>
      <c r="M65" s="96"/>
      <c r="N65" s="96"/>
      <c r="O65" s="234">
        <f>K65</f>
        <v>43240</v>
      </c>
      <c r="P65" s="247">
        <f t="shared" si="2"/>
        <v>1988626</v>
      </c>
      <c r="Q65" s="48"/>
    </row>
    <row r="66" spans="1:17" s="3" customFormat="1" ht="21.75" customHeight="1" x14ac:dyDescent="0.2">
      <c r="A66" s="200" t="s">
        <v>37</v>
      </c>
      <c r="B66" s="121" t="s">
        <v>15</v>
      </c>
      <c r="C66" s="299" t="s">
        <v>9</v>
      </c>
      <c r="D66" s="278" t="s">
        <v>40</v>
      </c>
      <c r="E66" s="141">
        <f>F66</f>
        <v>10709964</v>
      </c>
      <c r="F66" s="64">
        <f>10772532+44508+18477+27348+134818-2625-285094</f>
        <v>10709964</v>
      </c>
      <c r="G66" s="144">
        <f>7476302+10931-521923</f>
        <v>6965310</v>
      </c>
      <c r="H66" s="144">
        <f>564368+10171+90000+46440</f>
        <v>710979</v>
      </c>
      <c r="I66" s="88"/>
      <c r="J66" s="145">
        <v>573420</v>
      </c>
      <c r="K66" s="64"/>
      <c r="L66" s="144">
        <v>573420</v>
      </c>
      <c r="M66" s="146"/>
      <c r="N66" s="146"/>
      <c r="O66" s="236"/>
      <c r="P66" s="247">
        <f>E66+J66</f>
        <v>11283384</v>
      </c>
      <c r="Q66" s="48"/>
    </row>
    <row r="67" spans="1:17" s="3" customFormat="1" ht="18" hidden="1" customHeight="1" x14ac:dyDescent="0.2">
      <c r="A67" s="203"/>
      <c r="B67" s="147"/>
      <c r="C67" s="300"/>
      <c r="D67" s="278" t="s">
        <v>101</v>
      </c>
      <c r="E67" s="145">
        <f>11232709-460177</f>
        <v>10772532</v>
      </c>
      <c r="F67" s="64">
        <f>E67</f>
        <v>10772532</v>
      </c>
      <c r="G67" s="63">
        <f>7744523-268221</f>
        <v>7476302</v>
      </c>
      <c r="H67" s="63">
        <f>607883-43515</f>
        <v>564368</v>
      </c>
      <c r="I67" s="87"/>
      <c r="J67" s="120">
        <v>573420</v>
      </c>
      <c r="K67" s="148"/>
      <c r="L67" s="149">
        <v>573420</v>
      </c>
      <c r="M67" s="150"/>
      <c r="N67" s="150"/>
      <c r="O67" s="237"/>
      <c r="P67" s="242">
        <f t="shared" si="2"/>
        <v>11345952</v>
      </c>
      <c r="Q67" s="48"/>
    </row>
    <row r="68" spans="1:17" s="3" customFormat="1" ht="46.5" customHeight="1" x14ac:dyDescent="0.2">
      <c r="A68" s="198" t="s">
        <v>84</v>
      </c>
      <c r="B68" s="97" t="s">
        <v>85</v>
      </c>
      <c r="C68" s="301" t="s">
        <v>19</v>
      </c>
      <c r="D68" s="278" t="s">
        <v>202</v>
      </c>
      <c r="E68" s="145">
        <f>F68</f>
        <v>8388973</v>
      </c>
      <c r="F68" s="64">
        <f>F69+F70-77999</f>
        <v>8388973</v>
      </c>
      <c r="G68" s="144">
        <f t="shared" ref="G68:N68" si="13">G69+G70</f>
        <v>4560568</v>
      </c>
      <c r="H68" s="144">
        <f>H69+H70</f>
        <v>1377870</v>
      </c>
      <c r="I68" s="88">
        <f t="shared" si="13"/>
        <v>0</v>
      </c>
      <c r="J68" s="145">
        <f>K68</f>
        <v>212998</v>
      </c>
      <c r="K68" s="64">
        <f>O68</f>
        <v>212998</v>
      </c>
      <c r="L68" s="144">
        <f t="shared" si="13"/>
        <v>0</v>
      </c>
      <c r="M68" s="144">
        <f t="shared" si="13"/>
        <v>0</v>
      </c>
      <c r="N68" s="144">
        <f t="shared" si="13"/>
        <v>0</v>
      </c>
      <c r="O68" s="88">
        <f>200000+12998</f>
        <v>212998</v>
      </c>
      <c r="P68" s="242">
        <f>E68+J68</f>
        <v>8601971</v>
      </c>
      <c r="Q68" s="48"/>
    </row>
    <row r="69" spans="1:17" s="3" customFormat="1" ht="45" customHeight="1" x14ac:dyDescent="0.2">
      <c r="A69" s="198"/>
      <c r="B69" s="97"/>
      <c r="C69" s="301"/>
      <c r="D69" s="278" t="s">
        <v>143</v>
      </c>
      <c r="E69" s="145">
        <f t="shared" ref="E69:E70" si="14">F69</f>
        <v>7637472</v>
      </c>
      <c r="F69" s="88">
        <f>7003386+460177+42588-10171+133334+8158</f>
        <v>7637472</v>
      </c>
      <c r="G69" s="63">
        <f>3502136+368139+10293</f>
        <v>3880568</v>
      </c>
      <c r="H69" s="63">
        <f>1239212-103385+2214-10171+250000</f>
        <v>1377870</v>
      </c>
      <c r="I69" s="87"/>
      <c r="J69" s="70"/>
      <c r="K69" s="106"/>
      <c r="L69" s="99"/>
      <c r="M69" s="99"/>
      <c r="N69" s="99"/>
      <c r="O69" s="103"/>
      <c r="P69" s="119">
        <f>E69+J69</f>
        <v>7637472</v>
      </c>
      <c r="Q69" s="48"/>
    </row>
    <row r="70" spans="1:17" s="3" customFormat="1" ht="67.5" customHeight="1" x14ac:dyDescent="0.2">
      <c r="A70" s="198"/>
      <c r="B70" s="97"/>
      <c r="C70" s="301"/>
      <c r="D70" s="278" t="s">
        <v>166</v>
      </c>
      <c r="E70" s="145">
        <f t="shared" si="14"/>
        <v>829500</v>
      </c>
      <c r="F70" s="88">
        <v>829500</v>
      </c>
      <c r="G70" s="63">
        <v>680000</v>
      </c>
      <c r="H70" s="63"/>
      <c r="I70" s="87"/>
      <c r="J70" s="70"/>
      <c r="K70" s="106"/>
      <c r="L70" s="99"/>
      <c r="M70" s="99"/>
      <c r="N70" s="99"/>
      <c r="O70" s="103"/>
      <c r="P70" s="119">
        <f>E70+J70</f>
        <v>829500</v>
      </c>
      <c r="Q70" s="48"/>
    </row>
    <row r="71" spans="1:17" s="3" customFormat="1" ht="42" customHeight="1" x14ac:dyDescent="0.2">
      <c r="A71" s="198" t="s">
        <v>86</v>
      </c>
      <c r="B71" s="97" t="s">
        <v>87</v>
      </c>
      <c r="C71" s="301" t="s">
        <v>19</v>
      </c>
      <c r="D71" s="278" t="s">
        <v>77</v>
      </c>
      <c r="E71" s="145">
        <f>F71</f>
        <v>19442200</v>
      </c>
      <c r="F71" s="64">
        <v>19442200</v>
      </c>
      <c r="G71" s="144">
        <v>15956610</v>
      </c>
      <c r="H71" s="144">
        <f t="shared" ref="H71" si="15">H72+H73</f>
        <v>0</v>
      </c>
      <c r="I71" s="88">
        <f t="shared" ref="I71" si="16">I72+I73</f>
        <v>0</v>
      </c>
      <c r="J71" s="145">
        <f t="shared" ref="J71" si="17">J72+J73</f>
        <v>0</v>
      </c>
      <c r="K71" s="64">
        <f t="shared" ref="K71" si="18">K72+K73</f>
        <v>0</v>
      </c>
      <c r="L71" s="144">
        <f t="shared" ref="L71" si="19">L72+L73</f>
        <v>0</v>
      </c>
      <c r="M71" s="144">
        <f t="shared" ref="M71" si="20">M72+M73</f>
        <v>0</v>
      </c>
      <c r="N71" s="144">
        <f t="shared" ref="N71" si="21">N72+N73</f>
        <v>0</v>
      </c>
      <c r="O71" s="88">
        <f t="shared" ref="O71" si="22">O72+O73</f>
        <v>0</v>
      </c>
      <c r="P71" s="242">
        <f t="shared" si="2"/>
        <v>19442200</v>
      </c>
      <c r="Q71" s="48"/>
    </row>
    <row r="72" spans="1:17" s="3" customFormat="1" ht="68.25" hidden="1" customHeight="1" x14ac:dyDescent="0.2">
      <c r="A72" s="198"/>
      <c r="B72" s="97"/>
      <c r="C72" s="301"/>
      <c r="D72" s="279"/>
      <c r="E72" s="145"/>
      <c r="F72" s="66"/>
      <c r="G72" s="63"/>
      <c r="H72" s="63"/>
      <c r="I72" s="67"/>
      <c r="J72" s="119"/>
      <c r="K72" s="66"/>
      <c r="L72" s="63"/>
      <c r="M72" s="63"/>
      <c r="N72" s="63"/>
      <c r="O72" s="67"/>
      <c r="P72" s="242">
        <f t="shared" si="2"/>
        <v>0</v>
      </c>
      <c r="Q72" s="48"/>
    </row>
    <row r="73" spans="1:17" s="3" customFormat="1" ht="68.25" hidden="1" customHeight="1" x14ac:dyDescent="0.2">
      <c r="A73" s="199"/>
      <c r="B73" s="104"/>
      <c r="C73" s="302"/>
      <c r="D73" s="279" t="s">
        <v>139</v>
      </c>
      <c r="E73" s="145">
        <v>18374368</v>
      </c>
      <c r="F73" s="66">
        <f t="shared" ref="F73" si="23">E73</f>
        <v>18374368</v>
      </c>
      <c r="G73" s="63">
        <v>15060957</v>
      </c>
      <c r="H73" s="65"/>
      <c r="I73" s="227"/>
      <c r="J73" s="151"/>
      <c r="K73" s="152"/>
      <c r="L73" s="65"/>
      <c r="M73" s="65"/>
      <c r="N73" s="65"/>
      <c r="O73" s="227"/>
      <c r="P73" s="242">
        <f t="shared" si="2"/>
        <v>18374368</v>
      </c>
      <c r="Q73" s="48"/>
    </row>
    <row r="74" spans="1:17" s="3" customFormat="1" ht="68.25" customHeight="1" x14ac:dyDescent="0.2">
      <c r="A74" s="198" t="s">
        <v>217</v>
      </c>
      <c r="B74" s="97" t="s">
        <v>218</v>
      </c>
      <c r="C74" s="301" t="s">
        <v>19</v>
      </c>
      <c r="D74" s="278" t="s">
        <v>77</v>
      </c>
      <c r="E74" s="145">
        <f>F74</f>
        <v>126455</v>
      </c>
      <c r="F74" s="66">
        <f>120555+5900</f>
        <v>126455</v>
      </c>
      <c r="G74" s="63">
        <v>29090</v>
      </c>
      <c r="H74" s="65"/>
      <c r="I74" s="227"/>
      <c r="J74" s="119">
        <f>L74+O74</f>
        <v>342979</v>
      </c>
      <c r="K74" s="66">
        <f>O74</f>
        <v>342979</v>
      </c>
      <c r="L74" s="65"/>
      <c r="M74" s="65"/>
      <c r="N74" s="65"/>
      <c r="O74" s="67">
        <f>179479+163500</f>
        <v>342979</v>
      </c>
      <c r="P74" s="242">
        <f t="shared" ref="P74:P79" si="24">E74+J74</f>
        <v>469434</v>
      </c>
      <c r="Q74" s="48"/>
    </row>
    <row r="75" spans="1:17" s="3" customFormat="1" ht="31.5" customHeight="1" x14ac:dyDescent="0.2">
      <c r="A75" s="198" t="s">
        <v>81</v>
      </c>
      <c r="B75" s="97" t="s">
        <v>78</v>
      </c>
      <c r="C75" s="301" t="s">
        <v>20</v>
      </c>
      <c r="D75" s="278" t="s">
        <v>126</v>
      </c>
      <c r="E75" s="145">
        <f>F75</f>
        <v>1700000</v>
      </c>
      <c r="F75" s="66">
        <v>1700000</v>
      </c>
      <c r="G75" s="63">
        <v>1394384</v>
      </c>
      <c r="H75" s="63"/>
      <c r="I75" s="67"/>
      <c r="J75" s="119">
        <v>77400</v>
      </c>
      <c r="K75" s="66"/>
      <c r="L75" s="63">
        <v>77400</v>
      </c>
      <c r="M75" s="63">
        <v>38500</v>
      </c>
      <c r="N75" s="63">
        <v>21580</v>
      </c>
      <c r="O75" s="67"/>
      <c r="P75" s="242">
        <f t="shared" si="24"/>
        <v>1777400</v>
      </c>
      <c r="Q75" s="48"/>
    </row>
    <row r="76" spans="1:17" s="3" customFormat="1" ht="50.25" customHeight="1" x14ac:dyDescent="0.2">
      <c r="A76" s="198" t="s">
        <v>82</v>
      </c>
      <c r="B76" s="97" t="s">
        <v>79</v>
      </c>
      <c r="C76" s="301" t="s">
        <v>8</v>
      </c>
      <c r="D76" s="278" t="s">
        <v>203</v>
      </c>
      <c r="E76" s="145">
        <f t="shared" ref="E76:E91" si="25">F76</f>
        <v>1375356</v>
      </c>
      <c r="F76" s="88">
        <f>F77+F78+F79+F80</f>
        <v>1375356</v>
      </c>
      <c r="G76" s="144">
        <f>G77+G78+G79+G80</f>
        <v>1078177</v>
      </c>
      <c r="H76" s="63"/>
      <c r="I76" s="67"/>
      <c r="J76" s="151"/>
      <c r="K76" s="152"/>
      <c r="L76" s="65"/>
      <c r="M76" s="65"/>
      <c r="N76" s="65"/>
      <c r="O76" s="227"/>
      <c r="P76" s="242">
        <f t="shared" si="24"/>
        <v>1375356</v>
      </c>
      <c r="Q76" s="48"/>
    </row>
    <row r="77" spans="1:17" s="3" customFormat="1" ht="43.5" customHeight="1" x14ac:dyDescent="0.2">
      <c r="A77" s="199"/>
      <c r="B77" s="104"/>
      <c r="C77" s="302"/>
      <c r="D77" s="278" t="s">
        <v>143</v>
      </c>
      <c r="E77" s="145">
        <f t="shared" si="25"/>
        <v>1310070</v>
      </c>
      <c r="F77" s="64">
        <f>1151250+158820</f>
        <v>1310070</v>
      </c>
      <c r="G77" s="63">
        <f>898577+3000+130000</f>
        <v>1031577</v>
      </c>
      <c r="H77" s="63"/>
      <c r="I77" s="227"/>
      <c r="J77" s="151"/>
      <c r="K77" s="152"/>
      <c r="L77" s="65"/>
      <c r="M77" s="65"/>
      <c r="N77" s="65"/>
      <c r="O77" s="227"/>
      <c r="P77" s="119">
        <f t="shared" si="24"/>
        <v>1310070</v>
      </c>
      <c r="Q77" s="48"/>
    </row>
    <row r="78" spans="1:17" s="3" customFormat="1" ht="48" customHeight="1" x14ac:dyDescent="0.2">
      <c r="A78" s="199"/>
      <c r="B78" s="104"/>
      <c r="C78" s="302"/>
      <c r="D78" s="278" t="s">
        <v>144</v>
      </c>
      <c r="E78" s="145">
        <f t="shared" si="25"/>
        <v>28493</v>
      </c>
      <c r="F78" s="64">
        <v>28493</v>
      </c>
      <c r="G78" s="63">
        <v>23300</v>
      </c>
      <c r="H78" s="65"/>
      <c r="I78" s="227"/>
      <c r="J78" s="151"/>
      <c r="K78" s="152"/>
      <c r="L78" s="65"/>
      <c r="M78" s="65"/>
      <c r="N78" s="65"/>
      <c r="O78" s="227"/>
      <c r="P78" s="119">
        <f t="shared" si="24"/>
        <v>28493</v>
      </c>
      <c r="Q78" s="48"/>
    </row>
    <row r="79" spans="1:17" s="3" customFormat="1" ht="40.5" customHeight="1" x14ac:dyDescent="0.2">
      <c r="A79" s="199"/>
      <c r="B79" s="104"/>
      <c r="C79" s="302"/>
      <c r="D79" s="278" t="s">
        <v>147</v>
      </c>
      <c r="E79" s="145">
        <f t="shared" si="25"/>
        <v>36793</v>
      </c>
      <c r="F79" s="64">
        <v>36793</v>
      </c>
      <c r="G79" s="63">
        <v>23300</v>
      </c>
      <c r="H79" s="65"/>
      <c r="I79" s="227"/>
      <c r="J79" s="151"/>
      <c r="K79" s="152"/>
      <c r="L79" s="65"/>
      <c r="M79" s="65"/>
      <c r="N79" s="65"/>
      <c r="O79" s="227"/>
      <c r="P79" s="119">
        <f t="shared" si="24"/>
        <v>36793</v>
      </c>
      <c r="Q79" s="48"/>
    </row>
    <row r="80" spans="1:17" s="3" customFormat="1" ht="42" hidden="1" customHeight="1" x14ac:dyDescent="0.2">
      <c r="A80" s="199"/>
      <c r="B80" s="104"/>
      <c r="C80" s="302"/>
      <c r="D80" s="278" t="s">
        <v>100</v>
      </c>
      <c r="E80" s="153">
        <v>0</v>
      </c>
      <c r="F80" s="66">
        <f t="shared" ref="F80" si="26">E80</f>
        <v>0</v>
      </c>
      <c r="G80" s="65"/>
      <c r="H80" s="65"/>
      <c r="I80" s="227"/>
      <c r="J80" s="151"/>
      <c r="K80" s="152"/>
      <c r="L80" s="65"/>
      <c r="M80" s="65"/>
      <c r="N80" s="65"/>
      <c r="O80" s="227"/>
      <c r="P80" s="242">
        <f t="shared" si="2"/>
        <v>0</v>
      </c>
      <c r="Q80" s="48"/>
    </row>
    <row r="81" spans="1:17" s="3" customFormat="1" ht="27.75" customHeight="1" x14ac:dyDescent="0.2">
      <c r="A81" s="198" t="s">
        <v>83</v>
      </c>
      <c r="B81" s="97" t="s">
        <v>80</v>
      </c>
      <c r="C81" s="301" t="s">
        <v>8</v>
      </c>
      <c r="D81" s="278" t="s">
        <v>66</v>
      </c>
      <c r="E81" s="145">
        <f t="shared" si="25"/>
        <v>674222</v>
      </c>
      <c r="F81" s="64">
        <f>656108+62904+19800-40892-28900+5202</f>
        <v>674222</v>
      </c>
      <c r="G81" s="63"/>
      <c r="H81" s="63"/>
      <c r="I81" s="87"/>
      <c r="J81" s="70">
        <f>K81</f>
        <v>350000</v>
      </c>
      <c r="K81" s="106">
        <f>328784+21216</f>
        <v>350000</v>
      </c>
      <c r="L81" s="99"/>
      <c r="M81" s="99"/>
      <c r="N81" s="99"/>
      <c r="O81" s="192">
        <f>K81</f>
        <v>350000</v>
      </c>
      <c r="P81" s="242">
        <f>E81+J81</f>
        <v>1024222</v>
      </c>
      <c r="Q81" s="48"/>
    </row>
    <row r="82" spans="1:17" s="3" customFormat="1" ht="72" customHeight="1" x14ac:dyDescent="0.2">
      <c r="A82" s="198" t="s">
        <v>150</v>
      </c>
      <c r="B82" s="97" t="s">
        <v>106</v>
      </c>
      <c r="C82" s="301" t="s">
        <v>8</v>
      </c>
      <c r="D82" s="278" t="s">
        <v>158</v>
      </c>
      <c r="E82" s="145">
        <f t="shared" si="25"/>
        <v>356620</v>
      </c>
      <c r="F82" s="64">
        <f t="shared" ref="F82:I82" si="27">F83+F84+F85+F86</f>
        <v>356620</v>
      </c>
      <c r="G82" s="144">
        <f t="shared" si="27"/>
        <v>151914</v>
      </c>
      <c r="H82" s="144">
        <f t="shared" si="27"/>
        <v>32836</v>
      </c>
      <c r="I82" s="88">
        <f t="shared" si="27"/>
        <v>0</v>
      </c>
      <c r="J82" s="119"/>
      <c r="K82" s="66"/>
      <c r="L82" s="63"/>
      <c r="M82" s="63"/>
      <c r="N82" s="63"/>
      <c r="O82" s="67"/>
      <c r="P82" s="242">
        <f>E82+J82</f>
        <v>356620</v>
      </c>
      <c r="Q82" s="48"/>
    </row>
    <row r="83" spans="1:17" s="3" customFormat="1" ht="42" customHeight="1" x14ac:dyDescent="0.2">
      <c r="A83" s="199"/>
      <c r="B83" s="104"/>
      <c r="C83" s="302"/>
      <c r="D83" s="278" t="s">
        <v>143</v>
      </c>
      <c r="E83" s="145">
        <f t="shared" si="25"/>
        <v>82666</v>
      </c>
      <c r="F83" s="64">
        <v>82666</v>
      </c>
      <c r="G83" s="63">
        <v>41626</v>
      </c>
      <c r="H83" s="63">
        <f>4312+9680</f>
        <v>13992</v>
      </c>
      <c r="I83" s="227"/>
      <c r="J83" s="151"/>
      <c r="K83" s="152"/>
      <c r="L83" s="65"/>
      <c r="M83" s="65"/>
      <c r="N83" s="65"/>
      <c r="O83" s="227"/>
      <c r="P83" s="119">
        <f>E83+J83</f>
        <v>82666</v>
      </c>
      <c r="Q83" s="48"/>
    </row>
    <row r="84" spans="1:17" s="3" customFormat="1" ht="47.25" customHeight="1" x14ac:dyDescent="0.2">
      <c r="A84" s="199"/>
      <c r="B84" s="104"/>
      <c r="C84" s="302"/>
      <c r="D84" s="278" t="s">
        <v>144</v>
      </c>
      <c r="E84" s="145">
        <f t="shared" si="25"/>
        <v>75647</v>
      </c>
      <c r="F84" s="64">
        <v>75647</v>
      </c>
      <c r="G84" s="63">
        <v>32224</v>
      </c>
      <c r="H84" s="63">
        <v>4912</v>
      </c>
      <c r="I84" s="227"/>
      <c r="J84" s="151"/>
      <c r="K84" s="152"/>
      <c r="L84" s="65"/>
      <c r="M84" s="65"/>
      <c r="N84" s="65"/>
      <c r="O84" s="227"/>
      <c r="P84" s="119">
        <f>E84+J84</f>
        <v>75647</v>
      </c>
      <c r="Q84" s="48"/>
    </row>
    <row r="85" spans="1:17" s="3" customFormat="1" ht="44.25" customHeight="1" x14ac:dyDescent="0.2">
      <c r="A85" s="199"/>
      <c r="B85" s="104"/>
      <c r="C85" s="302"/>
      <c r="D85" s="278" t="s">
        <v>145</v>
      </c>
      <c r="E85" s="145">
        <f t="shared" si="25"/>
        <v>135010</v>
      </c>
      <c r="F85" s="64">
        <v>135010</v>
      </c>
      <c r="G85" s="63">
        <v>51101</v>
      </c>
      <c r="H85" s="63">
        <v>9823</v>
      </c>
      <c r="I85" s="227"/>
      <c r="J85" s="151"/>
      <c r="K85" s="152"/>
      <c r="L85" s="65"/>
      <c r="M85" s="65"/>
      <c r="N85" s="65"/>
      <c r="O85" s="227"/>
      <c r="P85" s="119">
        <f>E85+J85</f>
        <v>135010</v>
      </c>
      <c r="Q85" s="48"/>
    </row>
    <row r="86" spans="1:17" s="3" customFormat="1" ht="45.75" customHeight="1" x14ac:dyDescent="0.2">
      <c r="A86" s="199"/>
      <c r="B86" s="104"/>
      <c r="C86" s="302"/>
      <c r="D86" s="278" t="s">
        <v>146</v>
      </c>
      <c r="E86" s="145">
        <f t="shared" si="25"/>
        <v>63297</v>
      </c>
      <c r="F86" s="64">
        <v>63297</v>
      </c>
      <c r="G86" s="63">
        <v>26963</v>
      </c>
      <c r="H86" s="63">
        <v>4109</v>
      </c>
      <c r="I86" s="227"/>
      <c r="J86" s="151"/>
      <c r="K86" s="152"/>
      <c r="L86" s="65"/>
      <c r="M86" s="65"/>
      <c r="N86" s="65"/>
      <c r="O86" s="227"/>
      <c r="P86" s="119">
        <f t="shared" si="2"/>
        <v>63297</v>
      </c>
      <c r="Q86" s="48"/>
    </row>
    <row r="87" spans="1:17" s="3" customFormat="1" ht="42" customHeight="1" x14ac:dyDescent="0.2">
      <c r="A87" s="198" t="s">
        <v>105</v>
      </c>
      <c r="B87" s="97" t="s">
        <v>107</v>
      </c>
      <c r="C87" s="301" t="s">
        <v>8</v>
      </c>
      <c r="D87" s="278" t="s">
        <v>108</v>
      </c>
      <c r="E87" s="145">
        <f t="shared" si="25"/>
        <v>1499035</v>
      </c>
      <c r="F87" s="66">
        <v>1499035</v>
      </c>
      <c r="G87" s="63">
        <f>1228717+26500</f>
        <v>1255217</v>
      </c>
      <c r="H87" s="65"/>
      <c r="I87" s="227"/>
      <c r="J87" s="151"/>
      <c r="K87" s="152"/>
      <c r="L87" s="65"/>
      <c r="M87" s="65"/>
      <c r="N87" s="65"/>
      <c r="O87" s="227"/>
      <c r="P87" s="242">
        <f t="shared" si="2"/>
        <v>1499035</v>
      </c>
      <c r="Q87" s="48"/>
    </row>
    <row r="88" spans="1:17" s="3" customFormat="1" ht="126" customHeight="1" x14ac:dyDescent="0.2">
      <c r="A88" s="287" t="s">
        <v>226</v>
      </c>
      <c r="B88" s="289" t="s">
        <v>227</v>
      </c>
      <c r="C88" s="301" t="s">
        <v>8</v>
      </c>
      <c r="D88" s="288" t="s">
        <v>228</v>
      </c>
      <c r="E88" s="145">
        <f t="shared" si="25"/>
        <v>6802</v>
      </c>
      <c r="F88" s="66">
        <v>6802</v>
      </c>
      <c r="G88" s="63"/>
      <c r="H88" s="65"/>
      <c r="I88" s="227"/>
      <c r="J88" s="119">
        <f>K88</f>
        <v>19115</v>
      </c>
      <c r="K88" s="66">
        <f>25803-6688</f>
        <v>19115</v>
      </c>
      <c r="L88" s="63"/>
      <c r="M88" s="63"/>
      <c r="N88" s="63"/>
      <c r="O88" s="67">
        <f>K88</f>
        <v>19115</v>
      </c>
      <c r="P88" s="242">
        <f t="shared" si="2"/>
        <v>25917</v>
      </c>
      <c r="Q88" s="48"/>
    </row>
    <row r="89" spans="1:17" s="3" customFormat="1" ht="108" customHeight="1" x14ac:dyDescent="0.2">
      <c r="A89" s="323" t="s">
        <v>238</v>
      </c>
      <c r="B89" s="324">
        <v>1182</v>
      </c>
      <c r="C89" s="295" t="s">
        <v>8</v>
      </c>
      <c r="D89" s="325" t="s">
        <v>239</v>
      </c>
      <c r="E89" s="145">
        <f>F89</f>
        <v>124549</v>
      </c>
      <c r="F89" s="66">
        <f>63331+61218</f>
        <v>124549</v>
      </c>
      <c r="G89" s="63"/>
      <c r="H89" s="65"/>
      <c r="I89" s="227"/>
      <c r="J89" s="119">
        <f>K89</f>
        <v>172033</v>
      </c>
      <c r="K89" s="66">
        <f>233251-61218</f>
        <v>172033</v>
      </c>
      <c r="L89" s="63"/>
      <c r="M89" s="63"/>
      <c r="N89" s="63"/>
      <c r="O89" s="67">
        <f>K89</f>
        <v>172033</v>
      </c>
      <c r="P89" s="242">
        <f>O89+E89</f>
        <v>296582</v>
      </c>
      <c r="Q89" s="48"/>
    </row>
    <row r="90" spans="1:17" s="3" customFormat="1" ht="88.5" customHeight="1" x14ac:dyDescent="0.2">
      <c r="A90" s="198" t="s">
        <v>137</v>
      </c>
      <c r="B90" s="97" t="s">
        <v>136</v>
      </c>
      <c r="C90" s="301" t="s">
        <v>8</v>
      </c>
      <c r="D90" s="278" t="s">
        <v>138</v>
      </c>
      <c r="E90" s="145">
        <f t="shared" si="25"/>
        <v>123283</v>
      </c>
      <c r="F90" s="66">
        <v>123283</v>
      </c>
      <c r="G90" s="63">
        <v>99000</v>
      </c>
      <c r="H90" s="63"/>
      <c r="I90" s="67"/>
      <c r="J90" s="119">
        <v>62558</v>
      </c>
      <c r="K90" s="66">
        <v>62558</v>
      </c>
      <c r="L90" s="63"/>
      <c r="M90" s="63"/>
      <c r="N90" s="63"/>
      <c r="O90" s="67">
        <v>62558</v>
      </c>
      <c r="P90" s="242">
        <f>E90+J90</f>
        <v>185841</v>
      </c>
      <c r="Q90" s="48"/>
    </row>
    <row r="91" spans="1:17" s="3" customFormat="1" ht="87" customHeight="1" x14ac:dyDescent="0.2">
      <c r="A91" s="198" t="s">
        <v>174</v>
      </c>
      <c r="B91" s="97" t="s">
        <v>175</v>
      </c>
      <c r="C91" s="301" t="s">
        <v>8</v>
      </c>
      <c r="D91" s="278" t="s">
        <v>176</v>
      </c>
      <c r="E91" s="145">
        <f t="shared" si="25"/>
        <v>67675</v>
      </c>
      <c r="F91" s="66">
        <v>67675</v>
      </c>
      <c r="G91" s="63">
        <v>55471</v>
      </c>
      <c r="H91" s="67"/>
      <c r="I91" s="67"/>
      <c r="J91" s="70">
        <f>K91</f>
        <v>59329</v>
      </c>
      <c r="K91" s="66">
        <v>59329</v>
      </c>
      <c r="L91" s="63"/>
      <c r="M91" s="63"/>
      <c r="N91" s="63"/>
      <c r="O91" s="67">
        <v>59329</v>
      </c>
      <c r="P91" s="242">
        <f t="shared" si="2"/>
        <v>127004</v>
      </c>
      <c r="Q91" s="48"/>
    </row>
    <row r="92" spans="1:17" s="3" customFormat="1" ht="63" customHeight="1" x14ac:dyDescent="0.2">
      <c r="A92" s="198" t="s">
        <v>141</v>
      </c>
      <c r="B92" s="97" t="s">
        <v>38</v>
      </c>
      <c r="C92" s="301" t="s">
        <v>7</v>
      </c>
      <c r="D92" s="278" t="s">
        <v>127</v>
      </c>
      <c r="E92" s="145">
        <f>F92</f>
        <v>170117</v>
      </c>
      <c r="F92" s="64">
        <f>166825+2500+792</f>
        <v>170117</v>
      </c>
      <c r="G92" s="63">
        <v>107756</v>
      </c>
      <c r="H92" s="67">
        <f>36108+2500+198</f>
        <v>38806</v>
      </c>
      <c r="I92" s="67"/>
      <c r="J92" s="151"/>
      <c r="K92" s="152"/>
      <c r="L92" s="65"/>
      <c r="M92" s="65"/>
      <c r="N92" s="65"/>
      <c r="O92" s="227"/>
      <c r="P92" s="242">
        <f t="shared" ref="P92:P129" si="28">E92+J92</f>
        <v>170117</v>
      </c>
      <c r="Q92" s="48"/>
    </row>
    <row r="93" spans="1:17" s="3" customFormat="1" ht="24.75" customHeight="1" x14ac:dyDescent="0.2">
      <c r="A93" s="204" t="s">
        <v>128</v>
      </c>
      <c r="B93" s="97" t="s">
        <v>130</v>
      </c>
      <c r="C93" s="301" t="s">
        <v>129</v>
      </c>
      <c r="D93" s="278" t="s">
        <v>131</v>
      </c>
      <c r="E93" s="145">
        <f>F93</f>
        <v>199886</v>
      </c>
      <c r="F93" s="64">
        <f>200000-114</f>
        <v>199886</v>
      </c>
      <c r="G93" s="63"/>
      <c r="H93" s="63"/>
      <c r="I93" s="67"/>
      <c r="J93" s="119">
        <f>K93</f>
        <v>138600</v>
      </c>
      <c r="K93" s="66">
        <f>O93</f>
        <v>138600</v>
      </c>
      <c r="L93" s="63"/>
      <c r="M93" s="63"/>
      <c r="N93" s="65"/>
      <c r="O93" s="67">
        <v>138600</v>
      </c>
      <c r="P93" s="242">
        <f t="shared" si="28"/>
        <v>338486</v>
      </c>
      <c r="Q93" s="48"/>
    </row>
    <row r="94" spans="1:17" s="3" customFormat="1" ht="36.75" customHeight="1" x14ac:dyDescent="0.2">
      <c r="A94" s="287" t="s">
        <v>229</v>
      </c>
      <c r="B94" s="290">
        <v>7325</v>
      </c>
      <c r="C94" s="301" t="s">
        <v>172</v>
      </c>
      <c r="D94" s="288" t="s">
        <v>230</v>
      </c>
      <c r="E94" s="145"/>
      <c r="F94" s="64"/>
      <c r="G94" s="63"/>
      <c r="H94" s="63"/>
      <c r="I94" s="67"/>
      <c r="J94" s="119">
        <f>K94</f>
        <v>46976</v>
      </c>
      <c r="K94" s="66">
        <v>46976</v>
      </c>
      <c r="L94" s="63"/>
      <c r="M94" s="63"/>
      <c r="N94" s="65"/>
      <c r="O94" s="67">
        <f>K94</f>
        <v>46976</v>
      </c>
      <c r="P94" s="242">
        <f t="shared" si="28"/>
        <v>46976</v>
      </c>
      <c r="Q94" s="48"/>
    </row>
    <row r="95" spans="1:17" s="3" customFormat="1" ht="62.1" customHeight="1" x14ac:dyDescent="0.2">
      <c r="A95" s="204" t="s">
        <v>219</v>
      </c>
      <c r="B95" s="97" t="s">
        <v>213</v>
      </c>
      <c r="C95" s="301" t="s">
        <v>120</v>
      </c>
      <c r="D95" s="278" t="s">
        <v>220</v>
      </c>
      <c r="E95" s="145"/>
      <c r="F95" s="64"/>
      <c r="G95" s="63"/>
      <c r="H95" s="63"/>
      <c r="I95" s="67"/>
      <c r="J95" s="119">
        <f>L95+O95</f>
        <v>6472238</v>
      </c>
      <c r="K95" s="66">
        <f>O95</f>
        <v>6472238</v>
      </c>
      <c r="L95" s="63"/>
      <c r="M95" s="63"/>
      <c r="N95" s="65"/>
      <c r="O95" s="67">
        <f>51245+4349172+2071821</f>
        <v>6472238</v>
      </c>
      <c r="P95" s="242">
        <f t="shared" si="28"/>
        <v>6472238</v>
      </c>
      <c r="Q95" s="48"/>
    </row>
    <row r="96" spans="1:17" s="3" customFormat="1" ht="44.25" customHeight="1" thickBot="1" x14ac:dyDescent="0.25">
      <c r="A96" s="275" t="s">
        <v>221</v>
      </c>
      <c r="B96" s="277" t="s">
        <v>119</v>
      </c>
      <c r="C96" s="303" t="s">
        <v>120</v>
      </c>
      <c r="D96" s="280" t="s">
        <v>125</v>
      </c>
      <c r="E96" s="253">
        <f>F96</f>
        <v>41211</v>
      </c>
      <c r="F96" s="173">
        <v>41211</v>
      </c>
      <c r="G96" s="174"/>
      <c r="H96" s="174"/>
      <c r="I96" s="175"/>
      <c r="J96" s="172"/>
      <c r="K96" s="176"/>
      <c r="L96" s="174"/>
      <c r="M96" s="174"/>
      <c r="N96" s="177"/>
      <c r="O96" s="175"/>
      <c r="P96" s="242">
        <f t="shared" si="28"/>
        <v>41211</v>
      </c>
      <c r="Q96" s="48"/>
    </row>
    <row r="97" spans="1:17" s="3" customFormat="1" ht="45" customHeight="1" thickBot="1" x14ac:dyDescent="0.25">
      <c r="A97" s="265" t="s">
        <v>179</v>
      </c>
      <c r="B97" s="266"/>
      <c r="C97" s="267"/>
      <c r="D97" s="268" t="s">
        <v>178</v>
      </c>
      <c r="E97" s="269">
        <f>E98</f>
        <v>2043429.27</v>
      </c>
      <c r="F97" s="270">
        <f t="shared" ref="F97:P97" si="29">F98</f>
        <v>2043429.27</v>
      </c>
      <c r="G97" s="271">
        <f t="shared" si="29"/>
        <v>1486012</v>
      </c>
      <c r="H97" s="271">
        <f t="shared" si="29"/>
        <v>18970</v>
      </c>
      <c r="I97" s="272">
        <f t="shared" si="29"/>
        <v>0</v>
      </c>
      <c r="J97" s="273">
        <f t="shared" si="29"/>
        <v>11000</v>
      </c>
      <c r="K97" s="274">
        <f t="shared" si="29"/>
        <v>11000</v>
      </c>
      <c r="L97" s="271">
        <f t="shared" si="29"/>
        <v>0</v>
      </c>
      <c r="M97" s="271">
        <f t="shared" si="29"/>
        <v>0</v>
      </c>
      <c r="N97" s="271">
        <f t="shared" si="29"/>
        <v>0</v>
      </c>
      <c r="O97" s="272">
        <f t="shared" si="29"/>
        <v>11000</v>
      </c>
      <c r="P97" s="269">
        <f t="shared" si="29"/>
        <v>2054429.27</v>
      </c>
      <c r="Q97" s="48"/>
    </row>
    <row r="98" spans="1:17" s="3" customFormat="1" ht="42" customHeight="1" thickBot="1" x14ac:dyDescent="0.25">
      <c r="A98" s="254" t="s">
        <v>177</v>
      </c>
      <c r="B98" s="255"/>
      <c r="C98" s="256"/>
      <c r="D98" s="257" t="s">
        <v>178</v>
      </c>
      <c r="E98" s="258">
        <f>E99+E100+E101+E102+E103+E104+E105+E106+E107+E108+E109</f>
        <v>2043429.27</v>
      </c>
      <c r="F98" s="259">
        <f t="shared" ref="F98:O98" si="30">F99+F100+F101+F102+F103+F104+F105+F106+F107+F108+F109</f>
        <v>2043429.27</v>
      </c>
      <c r="G98" s="260">
        <f t="shared" si="30"/>
        <v>1486012</v>
      </c>
      <c r="H98" s="260">
        <f t="shared" si="30"/>
        <v>18970</v>
      </c>
      <c r="I98" s="261">
        <f t="shared" si="30"/>
        <v>0</v>
      </c>
      <c r="J98" s="262">
        <f t="shared" si="30"/>
        <v>11000</v>
      </c>
      <c r="K98" s="263">
        <f t="shared" si="30"/>
        <v>11000</v>
      </c>
      <c r="L98" s="260">
        <f t="shared" si="30"/>
        <v>0</v>
      </c>
      <c r="M98" s="260">
        <f t="shared" si="30"/>
        <v>0</v>
      </c>
      <c r="N98" s="260">
        <f t="shared" si="30"/>
        <v>0</v>
      </c>
      <c r="O98" s="261">
        <f t="shared" si="30"/>
        <v>11000</v>
      </c>
      <c r="P98" s="264">
        <f>E98+J98</f>
        <v>2054429.27</v>
      </c>
      <c r="Q98" s="48"/>
    </row>
    <row r="99" spans="1:17" s="3" customFormat="1" ht="70.5" customHeight="1" x14ac:dyDescent="0.2">
      <c r="A99" s="197" t="s">
        <v>180</v>
      </c>
      <c r="B99" s="89" t="s">
        <v>36</v>
      </c>
      <c r="C99" s="90" t="s">
        <v>5</v>
      </c>
      <c r="D99" s="185" t="s">
        <v>72</v>
      </c>
      <c r="E99" s="141">
        <f t="shared" ref="E99:E100" si="31">F99</f>
        <v>888243</v>
      </c>
      <c r="F99" s="142">
        <f>805312+1160+10000+36932+34839</f>
        <v>888243</v>
      </c>
      <c r="G99" s="93">
        <f>648230+33000+34839</f>
        <v>716069</v>
      </c>
      <c r="H99" s="93">
        <f>6131+3932</f>
        <v>10063</v>
      </c>
      <c r="I99" s="226"/>
      <c r="J99" s="70">
        <f>K99</f>
        <v>11000</v>
      </c>
      <c r="K99" s="92">
        <v>11000</v>
      </c>
      <c r="L99" s="93"/>
      <c r="M99" s="93"/>
      <c r="N99" s="156"/>
      <c r="O99" s="226">
        <v>11000</v>
      </c>
      <c r="P99" s="321">
        <f t="shared" si="28"/>
        <v>899243</v>
      </c>
      <c r="Q99" s="48"/>
    </row>
    <row r="100" spans="1:17" s="3" customFormat="1" ht="52.5" customHeight="1" x14ac:dyDescent="0.2">
      <c r="A100" s="198" t="s">
        <v>186</v>
      </c>
      <c r="B100" s="97" t="s">
        <v>55</v>
      </c>
      <c r="C100" s="98" t="s">
        <v>16</v>
      </c>
      <c r="D100" s="85" t="s">
        <v>61</v>
      </c>
      <c r="E100" s="70">
        <f t="shared" si="31"/>
        <v>400</v>
      </c>
      <c r="F100" s="148">
        <v>400</v>
      </c>
      <c r="G100" s="99"/>
      <c r="H100" s="99"/>
      <c r="I100" s="192"/>
      <c r="J100" s="70"/>
      <c r="K100" s="106"/>
      <c r="L100" s="99"/>
      <c r="M100" s="99"/>
      <c r="N100" s="99"/>
      <c r="O100" s="192"/>
      <c r="P100" s="249">
        <f t="shared" si="28"/>
        <v>400</v>
      </c>
      <c r="Q100" s="48"/>
    </row>
    <row r="101" spans="1:17" s="3" customFormat="1" ht="46.5" customHeight="1" x14ac:dyDescent="0.2">
      <c r="A101" s="198" t="s">
        <v>187</v>
      </c>
      <c r="B101" s="97" t="s">
        <v>57</v>
      </c>
      <c r="C101" s="98" t="s">
        <v>63</v>
      </c>
      <c r="D101" s="85" t="s">
        <v>64</v>
      </c>
      <c r="E101" s="109">
        <f t="shared" ref="E101:E109" si="32">F101</f>
        <v>10358.77</v>
      </c>
      <c r="F101" s="110">
        <v>10358.77</v>
      </c>
      <c r="G101" s="157"/>
      <c r="H101" s="157"/>
      <c r="I101" s="228"/>
      <c r="J101" s="158"/>
      <c r="K101" s="159"/>
      <c r="L101" s="157"/>
      <c r="M101" s="157"/>
      <c r="N101" s="157"/>
      <c r="O101" s="228"/>
      <c r="P101" s="250">
        <f t="shared" si="28"/>
        <v>10358.77</v>
      </c>
      <c r="Q101" s="48"/>
    </row>
    <row r="102" spans="1:17" s="3" customFormat="1" ht="63.75" customHeight="1" x14ac:dyDescent="0.2">
      <c r="A102" s="198" t="s">
        <v>188</v>
      </c>
      <c r="B102" s="97" t="s">
        <v>60</v>
      </c>
      <c r="C102" s="98" t="s">
        <v>63</v>
      </c>
      <c r="D102" s="85" t="s">
        <v>73</v>
      </c>
      <c r="E102" s="120">
        <f t="shared" si="32"/>
        <v>2400</v>
      </c>
      <c r="F102" s="66">
        <v>2400</v>
      </c>
      <c r="G102" s="99"/>
      <c r="H102" s="99"/>
      <c r="I102" s="192"/>
      <c r="J102" s="70"/>
      <c r="K102" s="106"/>
      <c r="L102" s="99"/>
      <c r="M102" s="99"/>
      <c r="N102" s="99"/>
      <c r="O102" s="192"/>
      <c r="P102" s="242">
        <f t="shared" si="28"/>
        <v>2400</v>
      </c>
      <c r="Q102" s="48"/>
    </row>
    <row r="103" spans="1:17" s="3" customFormat="1" ht="64.5" customHeight="1" x14ac:dyDescent="0.2">
      <c r="A103" s="198" t="s">
        <v>189</v>
      </c>
      <c r="B103" s="97" t="s">
        <v>70</v>
      </c>
      <c r="C103" s="98" t="s">
        <v>63</v>
      </c>
      <c r="D103" s="85" t="s">
        <v>88</v>
      </c>
      <c r="E103" s="120">
        <f t="shared" si="32"/>
        <v>9700</v>
      </c>
      <c r="F103" s="148">
        <f>16700-7000</f>
        <v>9700</v>
      </c>
      <c r="G103" s="99"/>
      <c r="H103" s="99"/>
      <c r="I103" s="192"/>
      <c r="J103" s="70"/>
      <c r="K103" s="106"/>
      <c r="L103" s="99"/>
      <c r="M103" s="99"/>
      <c r="N103" s="99"/>
      <c r="O103" s="192"/>
      <c r="P103" s="242">
        <f t="shared" si="28"/>
        <v>9700</v>
      </c>
      <c r="Q103" s="48"/>
    </row>
    <row r="104" spans="1:17" s="3" customFormat="1" ht="53.25" customHeight="1" x14ac:dyDescent="0.2">
      <c r="A104" s="198" t="s">
        <v>190</v>
      </c>
      <c r="B104" s="97" t="s">
        <v>67</v>
      </c>
      <c r="C104" s="98" t="s">
        <v>16</v>
      </c>
      <c r="D104" s="85" t="s">
        <v>74</v>
      </c>
      <c r="E104" s="70">
        <f t="shared" si="32"/>
        <v>14152</v>
      </c>
      <c r="F104" s="148">
        <f>7100+7052</f>
        <v>14152</v>
      </c>
      <c r="G104" s="99"/>
      <c r="H104" s="99"/>
      <c r="I104" s="192"/>
      <c r="J104" s="70"/>
      <c r="K104" s="106"/>
      <c r="L104" s="99"/>
      <c r="M104" s="99"/>
      <c r="N104" s="99"/>
      <c r="O104" s="192"/>
      <c r="P104" s="242">
        <f t="shared" si="28"/>
        <v>14152</v>
      </c>
      <c r="Q104" s="48"/>
    </row>
    <row r="105" spans="1:17" s="3" customFormat="1" ht="83.25" customHeight="1" x14ac:dyDescent="0.2">
      <c r="A105" s="200" t="s">
        <v>191</v>
      </c>
      <c r="B105" s="121" t="s">
        <v>192</v>
      </c>
      <c r="C105" s="69" t="s">
        <v>193</v>
      </c>
      <c r="D105" s="214" t="s">
        <v>194</v>
      </c>
      <c r="E105" s="70">
        <f t="shared" si="32"/>
        <v>988093</v>
      </c>
      <c r="F105" s="160">
        <f>864890+30200+47869+45134</f>
        <v>988093</v>
      </c>
      <c r="G105" s="99">
        <f>697928+36885+35130</f>
        <v>769943</v>
      </c>
      <c r="H105" s="99">
        <f>6038+2869</f>
        <v>8907</v>
      </c>
      <c r="I105" s="192"/>
      <c r="J105" s="70"/>
      <c r="K105" s="106"/>
      <c r="L105" s="99"/>
      <c r="M105" s="99"/>
      <c r="N105" s="99"/>
      <c r="O105" s="192"/>
      <c r="P105" s="242">
        <f t="shared" si="28"/>
        <v>988093</v>
      </c>
      <c r="Q105" s="48"/>
    </row>
    <row r="106" spans="1:17" s="3" customFormat="1" ht="120.75" customHeight="1" x14ac:dyDescent="0.2">
      <c r="A106" s="205" t="s">
        <v>181</v>
      </c>
      <c r="B106" s="68" t="s">
        <v>182</v>
      </c>
      <c r="C106" s="69" t="s">
        <v>15</v>
      </c>
      <c r="D106" s="85" t="s">
        <v>241</v>
      </c>
      <c r="E106" s="70">
        <f t="shared" si="32"/>
        <v>45969</v>
      </c>
      <c r="F106" s="71">
        <v>45969</v>
      </c>
      <c r="G106" s="63"/>
      <c r="H106" s="63"/>
      <c r="I106" s="67"/>
      <c r="J106" s="119"/>
      <c r="K106" s="66"/>
      <c r="L106" s="63"/>
      <c r="M106" s="63"/>
      <c r="N106" s="65"/>
      <c r="O106" s="227"/>
      <c r="P106" s="242">
        <f t="shared" si="28"/>
        <v>45969</v>
      </c>
      <c r="Q106" s="48"/>
    </row>
    <row r="107" spans="1:17" s="3" customFormat="1" ht="88.5" customHeight="1" x14ac:dyDescent="0.2">
      <c r="A107" s="198" t="s">
        <v>183</v>
      </c>
      <c r="B107" s="97" t="s">
        <v>69</v>
      </c>
      <c r="C107" s="98" t="s">
        <v>15</v>
      </c>
      <c r="D107" s="85" t="s">
        <v>75</v>
      </c>
      <c r="E107" s="109">
        <f t="shared" si="32"/>
        <v>1918.72</v>
      </c>
      <c r="F107" s="114">
        <f>1172.72+746</f>
        <v>1918.72</v>
      </c>
      <c r="G107" s="63"/>
      <c r="H107" s="63"/>
      <c r="I107" s="67"/>
      <c r="J107" s="119"/>
      <c r="K107" s="66"/>
      <c r="L107" s="63"/>
      <c r="M107" s="63"/>
      <c r="N107" s="65"/>
      <c r="O107" s="227"/>
      <c r="P107" s="244">
        <f t="shared" si="28"/>
        <v>1918.72</v>
      </c>
      <c r="Q107" s="48"/>
    </row>
    <row r="108" spans="1:17" s="3" customFormat="1" ht="104.25" customHeight="1" x14ac:dyDescent="0.2">
      <c r="A108" s="198" t="s">
        <v>184</v>
      </c>
      <c r="B108" s="97" t="s">
        <v>59</v>
      </c>
      <c r="C108" s="98" t="s">
        <v>62</v>
      </c>
      <c r="D108" s="85" t="s">
        <v>65</v>
      </c>
      <c r="E108" s="117">
        <f t="shared" si="32"/>
        <v>13528.78</v>
      </c>
      <c r="F108" s="114">
        <f>13528.78</f>
        <v>13528.78</v>
      </c>
      <c r="G108" s="63"/>
      <c r="H108" s="63"/>
      <c r="I108" s="67"/>
      <c r="J108" s="119"/>
      <c r="K108" s="66"/>
      <c r="L108" s="63"/>
      <c r="M108" s="63"/>
      <c r="N108" s="65"/>
      <c r="O108" s="227"/>
      <c r="P108" s="244">
        <f t="shared" si="28"/>
        <v>13528.78</v>
      </c>
      <c r="Q108" s="48"/>
    </row>
    <row r="109" spans="1:17" s="3" customFormat="1" ht="46.5" customHeight="1" x14ac:dyDescent="0.2">
      <c r="A109" s="198" t="s">
        <v>185</v>
      </c>
      <c r="B109" s="97" t="s">
        <v>24</v>
      </c>
      <c r="C109" s="98" t="s">
        <v>16</v>
      </c>
      <c r="D109" s="211" t="s">
        <v>148</v>
      </c>
      <c r="E109" s="161">
        <f t="shared" si="32"/>
        <v>68666</v>
      </c>
      <c r="F109" s="114">
        <f>F110+F111+F112+1666</f>
        <v>68666</v>
      </c>
      <c r="G109" s="63"/>
      <c r="H109" s="63"/>
      <c r="I109" s="67"/>
      <c r="J109" s="119"/>
      <c r="K109" s="66"/>
      <c r="L109" s="63"/>
      <c r="M109" s="63"/>
      <c r="N109" s="65"/>
      <c r="O109" s="227"/>
      <c r="P109" s="242">
        <f t="shared" si="28"/>
        <v>68666</v>
      </c>
      <c r="Q109" s="48"/>
    </row>
    <row r="110" spans="1:17" s="3" customFormat="1" ht="72.75" customHeight="1" x14ac:dyDescent="0.2">
      <c r="A110" s="198"/>
      <c r="B110" s="97"/>
      <c r="C110" s="98"/>
      <c r="D110" s="211" t="s">
        <v>112</v>
      </c>
      <c r="E110" s="161">
        <f t="shared" ref="E110:E112" si="33">F110</f>
        <v>55000</v>
      </c>
      <c r="F110" s="114">
        <v>55000</v>
      </c>
      <c r="G110" s="63"/>
      <c r="H110" s="63"/>
      <c r="I110" s="67"/>
      <c r="J110" s="119"/>
      <c r="K110" s="66"/>
      <c r="L110" s="63"/>
      <c r="M110" s="63"/>
      <c r="N110" s="65"/>
      <c r="O110" s="227"/>
      <c r="P110" s="119">
        <f t="shared" si="28"/>
        <v>55000</v>
      </c>
      <c r="Q110" s="48"/>
    </row>
    <row r="111" spans="1:17" s="3" customFormat="1" ht="148.5" customHeight="1" x14ac:dyDescent="0.2">
      <c r="A111" s="198"/>
      <c r="B111" s="97"/>
      <c r="C111" s="98"/>
      <c r="D111" s="211" t="s">
        <v>114</v>
      </c>
      <c r="E111" s="119">
        <f t="shared" si="33"/>
        <v>5000</v>
      </c>
      <c r="F111" s="64">
        <v>5000</v>
      </c>
      <c r="G111" s="63"/>
      <c r="H111" s="63"/>
      <c r="I111" s="67"/>
      <c r="J111" s="119"/>
      <c r="K111" s="66"/>
      <c r="L111" s="63"/>
      <c r="M111" s="63"/>
      <c r="N111" s="65"/>
      <c r="O111" s="227"/>
      <c r="P111" s="119">
        <f t="shared" si="28"/>
        <v>5000</v>
      </c>
      <c r="Q111" s="48"/>
    </row>
    <row r="112" spans="1:17" s="3" customFormat="1" ht="46.5" customHeight="1" thickBot="1" x14ac:dyDescent="0.25">
      <c r="A112" s="200"/>
      <c r="B112" s="121"/>
      <c r="C112" s="69"/>
      <c r="D112" s="86" t="s">
        <v>143</v>
      </c>
      <c r="E112" s="122">
        <f t="shared" si="33"/>
        <v>7000</v>
      </c>
      <c r="F112" s="162">
        <v>7000</v>
      </c>
      <c r="G112" s="124"/>
      <c r="H112" s="124"/>
      <c r="I112" s="229"/>
      <c r="J112" s="122"/>
      <c r="K112" s="123"/>
      <c r="L112" s="124"/>
      <c r="M112" s="124"/>
      <c r="N112" s="163"/>
      <c r="O112" s="238"/>
      <c r="P112" s="122">
        <f t="shared" si="28"/>
        <v>7000</v>
      </c>
      <c r="Q112" s="48"/>
    </row>
    <row r="113" spans="1:17" s="3" customFormat="1" ht="46.5" customHeight="1" x14ac:dyDescent="0.2">
      <c r="A113" s="201" t="s">
        <v>195</v>
      </c>
      <c r="B113" s="127"/>
      <c r="C113" s="129"/>
      <c r="D113" s="212" t="s">
        <v>197</v>
      </c>
      <c r="E113" s="164">
        <f>E114</f>
        <v>448738</v>
      </c>
      <c r="F113" s="165">
        <f t="shared" ref="F113:P113" si="34">F114</f>
        <v>448738</v>
      </c>
      <c r="G113" s="166">
        <f t="shared" si="34"/>
        <v>356895</v>
      </c>
      <c r="H113" s="166">
        <f t="shared" si="34"/>
        <v>5946</v>
      </c>
      <c r="I113" s="224">
        <f t="shared" si="34"/>
        <v>0</v>
      </c>
      <c r="J113" s="164">
        <f t="shared" si="34"/>
        <v>0</v>
      </c>
      <c r="K113" s="165">
        <f t="shared" si="34"/>
        <v>0</v>
      </c>
      <c r="L113" s="166">
        <f t="shared" si="34"/>
        <v>0</v>
      </c>
      <c r="M113" s="166">
        <f t="shared" si="34"/>
        <v>0</v>
      </c>
      <c r="N113" s="166">
        <f t="shared" si="34"/>
        <v>0</v>
      </c>
      <c r="O113" s="224">
        <f t="shared" si="34"/>
        <v>0</v>
      </c>
      <c r="P113" s="164">
        <f t="shared" si="34"/>
        <v>448738</v>
      </c>
      <c r="Q113" s="48"/>
    </row>
    <row r="114" spans="1:17" s="3" customFormat="1" ht="46.5" customHeight="1" thickBot="1" x14ac:dyDescent="0.25">
      <c r="A114" s="202" t="s">
        <v>196</v>
      </c>
      <c r="B114" s="137"/>
      <c r="C114" s="139"/>
      <c r="D114" s="213" t="s">
        <v>197</v>
      </c>
      <c r="E114" s="167">
        <f>E115</f>
        <v>448738</v>
      </c>
      <c r="F114" s="168">
        <f t="shared" ref="F114:P114" si="35">F115</f>
        <v>448738</v>
      </c>
      <c r="G114" s="169">
        <f t="shared" si="35"/>
        <v>356895</v>
      </c>
      <c r="H114" s="169">
        <f t="shared" si="35"/>
        <v>5946</v>
      </c>
      <c r="I114" s="230">
        <f t="shared" si="35"/>
        <v>0</v>
      </c>
      <c r="J114" s="167">
        <f t="shared" si="35"/>
        <v>0</v>
      </c>
      <c r="K114" s="168">
        <f t="shared" si="35"/>
        <v>0</v>
      </c>
      <c r="L114" s="169">
        <f t="shared" si="35"/>
        <v>0</v>
      </c>
      <c r="M114" s="169">
        <f t="shared" si="35"/>
        <v>0</v>
      </c>
      <c r="N114" s="169">
        <f t="shared" si="35"/>
        <v>0</v>
      </c>
      <c r="O114" s="230">
        <f t="shared" si="35"/>
        <v>0</v>
      </c>
      <c r="P114" s="167">
        <f t="shared" si="35"/>
        <v>448738</v>
      </c>
      <c r="Q114" s="48"/>
    </row>
    <row r="115" spans="1:17" s="3" customFormat="1" ht="67.5" customHeight="1" thickBot="1" x14ac:dyDescent="0.25">
      <c r="A115" s="206" t="s">
        <v>198</v>
      </c>
      <c r="B115" s="170" t="s">
        <v>36</v>
      </c>
      <c r="C115" s="171" t="s">
        <v>5</v>
      </c>
      <c r="D115" s="214" t="s">
        <v>72</v>
      </c>
      <c r="E115" s="172">
        <f t="shared" ref="E115" si="36">F115</f>
        <v>448738</v>
      </c>
      <c r="F115" s="173">
        <f>497117-48379</f>
        <v>448738</v>
      </c>
      <c r="G115" s="174">
        <f>396550-39655</f>
        <v>356895</v>
      </c>
      <c r="H115" s="175">
        <v>5946</v>
      </c>
      <c r="I115" s="175"/>
      <c r="J115" s="172"/>
      <c r="K115" s="176"/>
      <c r="L115" s="174"/>
      <c r="M115" s="174"/>
      <c r="N115" s="177"/>
      <c r="O115" s="239"/>
      <c r="P115" s="248">
        <f t="shared" si="28"/>
        <v>448738</v>
      </c>
      <c r="Q115" s="48"/>
    </row>
    <row r="116" spans="1:17" s="3" customFormat="1" ht="42.75" customHeight="1" x14ac:dyDescent="0.2">
      <c r="A116" s="201" t="s">
        <v>89</v>
      </c>
      <c r="B116" s="127"/>
      <c r="C116" s="129"/>
      <c r="D116" s="212" t="s">
        <v>95</v>
      </c>
      <c r="E116" s="130">
        <f>E117</f>
        <v>4231906</v>
      </c>
      <c r="F116" s="131">
        <f t="shared" ref="F116:H116" si="37">F117</f>
        <v>4231906</v>
      </c>
      <c r="G116" s="132">
        <f t="shared" si="37"/>
        <v>1063485</v>
      </c>
      <c r="H116" s="178">
        <f t="shared" si="37"/>
        <v>21677</v>
      </c>
      <c r="I116" s="224">
        <v>0</v>
      </c>
      <c r="J116" s="179">
        <f t="shared" ref="J116" si="38">K116+N116</f>
        <v>0</v>
      </c>
      <c r="K116" s="180">
        <v>0</v>
      </c>
      <c r="L116" s="136">
        <v>0</v>
      </c>
      <c r="M116" s="136">
        <v>0</v>
      </c>
      <c r="N116" s="136">
        <v>0</v>
      </c>
      <c r="O116" s="240">
        <v>0</v>
      </c>
      <c r="P116" s="164">
        <f t="shared" si="28"/>
        <v>4231906</v>
      </c>
      <c r="Q116" s="48"/>
    </row>
    <row r="117" spans="1:17" s="3" customFormat="1" ht="48.75" customHeight="1" thickBot="1" x14ac:dyDescent="0.25">
      <c r="A117" s="202" t="s">
        <v>90</v>
      </c>
      <c r="B117" s="137"/>
      <c r="C117" s="139"/>
      <c r="D117" s="213" t="s">
        <v>95</v>
      </c>
      <c r="E117" s="140">
        <f>E118+E120+E121+E119+E129</f>
        <v>4231906</v>
      </c>
      <c r="F117" s="155">
        <f>F118+F120+F121+F119+F129</f>
        <v>4231906</v>
      </c>
      <c r="G117" s="154">
        <f t="shared" ref="G117:H117" si="39">G118+G120+G121+G119</f>
        <v>1063485</v>
      </c>
      <c r="H117" s="181">
        <f t="shared" si="39"/>
        <v>21677</v>
      </c>
      <c r="I117" s="231">
        <v>0</v>
      </c>
      <c r="J117" s="182">
        <v>0</v>
      </c>
      <c r="K117" s="183">
        <v>0</v>
      </c>
      <c r="L117" s="184">
        <v>0</v>
      </c>
      <c r="M117" s="184">
        <v>0</v>
      </c>
      <c r="N117" s="184">
        <v>0</v>
      </c>
      <c r="O117" s="231">
        <v>0</v>
      </c>
      <c r="P117" s="167">
        <f>E117+J117</f>
        <v>4231906</v>
      </c>
      <c r="Q117" s="48"/>
    </row>
    <row r="118" spans="1:17" s="3" customFormat="1" ht="71.25" customHeight="1" x14ac:dyDescent="0.2">
      <c r="A118" s="197" t="s">
        <v>91</v>
      </c>
      <c r="B118" s="89" t="s">
        <v>36</v>
      </c>
      <c r="C118" s="90" t="s">
        <v>5</v>
      </c>
      <c r="D118" s="308" t="s">
        <v>72</v>
      </c>
      <c r="E118" s="312">
        <f>F118</f>
        <v>1399878</v>
      </c>
      <c r="F118" s="318">
        <f>1224018+13049+3524+6449+152838</f>
        <v>1399878</v>
      </c>
      <c r="G118" s="186">
        <f>938700+124785</f>
        <v>1063485</v>
      </c>
      <c r="H118" s="187">
        <f>11704+3524+6449</f>
        <v>21677</v>
      </c>
      <c r="I118" s="232"/>
      <c r="J118" s="188"/>
      <c r="K118" s="189"/>
      <c r="L118" s="190"/>
      <c r="M118" s="190"/>
      <c r="N118" s="190"/>
      <c r="O118" s="232"/>
      <c r="P118" s="247">
        <f t="shared" si="28"/>
        <v>1399878</v>
      </c>
      <c r="Q118" s="48"/>
    </row>
    <row r="119" spans="1:17" s="3" customFormat="1" ht="22.5" customHeight="1" x14ac:dyDescent="0.2">
      <c r="A119" s="206" t="s">
        <v>132</v>
      </c>
      <c r="B119" s="170" t="s">
        <v>133</v>
      </c>
      <c r="C119" s="171" t="s">
        <v>11</v>
      </c>
      <c r="D119" s="309" t="s">
        <v>134</v>
      </c>
      <c r="E119" s="313">
        <f t="shared" ref="E119:E120" si="40">F119</f>
        <v>668700</v>
      </c>
      <c r="F119" s="120">
        <v>668700</v>
      </c>
      <c r="G119" s="148"/>
      <c r="H119" s="191"/>
      <c r="I119" s="192"/>
      <c r="J119" s="70"/>
      <c r="K119" s="100"/>
      <c r="L119" s="99"/>
      <c r="M119" s="99"/>
      <c r="N119" s="99"/>
      <c r="O119" s="192"/>
      <c r="P119" s="242">
        <f t="shared" si="28"/>
        <v>668700</v>
      </c>
      <c r="Q119" s="48"/>
    </row>
    <row r="120" spans="1:17" s="3" customFormat="1" ht="90" customHeight="1" x14ac:dyDescent="0.2">
      <c r="A120" s="200" t="s">
        <v>92</v>
      </c>
      <c r="B120" s="121" t="s">
        <v>71</v>
      </c>
      <c r="C120" s="69" t="s">
        <v>11</v>
      </c>
      <c r="D120" s="309" t="s">
        <v>205</v>
      </c>
      <c r="E120" s="314">
        <f t="shared" si="40"/>
        <v>149500</v>
      </c>
      <c r="F120" s="145">
        <f>99700+49800</f>
        <v>149500</v>
      </c>
      <c r="G120" s="106"/>
      <c r="H120" s="192"/>
      <c r="I120" s="192"/>
      <c r="J120" s="70"/>
      <c r="K120" s="100"/>
      <c r="L120" s="99"/>
      <c r="M120" s="99"/>
      <c r="N120" s="99"/>
      <c r="O120" s="192"/>
      <c r="P120" s="242">
        <f t="shared" si="28"/>
        <v>149500</v>
      </c>
      <c r="Q120" s="48"/>
    </row>
    <row r="121" spans="1:17" s="3" customFormat="1" ht="40.5" customHeight="1" x14ac:dyDescent="0.2">
      <c r="A121" s="198" t="s">
        <v>93</v>
      </c>
      <c r="B121" s="97" t="s">
        <v>31</v>
      </c>
      <c r="C121" s="98" t="s">
        <v>11</v>
      </c>
      <c r="D121" s="309" t="s">
        <v>159</v>
      </c>
      <c r="E121" s="88">
        <f>F121</f>
        <v>2002828</v>
      </c>
      <c r="F121" s="145">
        <f>F122+F123+F124+F125+F127+F126+F128</f>
        <v>2002828</v>
      </c>
      <c r="G121" s="64"/>
      <c r="H121" s="193"/>
      <c r="I121" s="193"/>
      <c r="J121" s="145"/>
      <c r="K121" s="64"/>
      <c r="L121" s="146"/>
      <c r="M121" s="146"/>
      <c r="N121" s="146"/>
      <c r="O121" s="241"/>
      <c r="P121" s="251">
        <f>P122+P123+P124+P125+P127+P126+P128</f>
        <v>2002828</v>
      </c>
      <c r="Q121" s="48"/>
    </row>
    <row r="122" spans="1:17" s="3" customFormat="1" ht="69.75" customHeight="1" x14ac:dyDescent="0.2">
      <c r="A122" s="199"/>
      <c r="B122" s="104"/>
      <c r="C122" s="105"/>
      <c r="D122" s="309" t="s">
        <v>161</v>
      </c>
      <c r="E122" s="88">
        <f t="shared" ref="E122:E129" si="41">F122</f>
        <v>13707</v>
      </c>
      <c r="F122" s="145">
        <f>106103-92396</f>
        <v>13707</v>
      </c>
      <c r="G122" s="106"/>
      <c r="H122" s="192"/>
      <c r="I122" s="192"/>
      <c r="J122" s="70"/>
      <c r="K122" s="100"/>
      <c r="L122" s="99"/>
      <c r="M122" s="99"/>
      <c r="N122" s="99"/>
      <c r="O122" s="192"/>
      <c r="P122" s="119">
        <f t="shared" si="28"/>
        <v>13707</v>
      </c>
      <c r="Q122" s="48"/>
    </row>
    <row r="123" spans="1:17" s="3" customFormat="1" ht="63.75" customHeight="1" x14ac:dyDescent="0.2">
      <c r="A123" s="199"/>
      <c r="B123" s="104"/>
      <c r="C123" s="105"/>
      <c r="D123" s="309" t="s">
        <v>162</v>
      </c>
      <c r="E123" s="88">
        <f t="shared" si="41"/>
        <v>31702</v>
      </c>
      <c r="F123" s="145">
        <v>31702</v>
      </c>
      <c r="G123" s="106"/>
      <c r="H123" s="99"/>
      <c r="I123" s="192"/>
      <c r="J123" s="70"/>
      <c r="K123" s="95"/>
      <c r="L123" s="96"/>
      <c r="M123" s="96"/>
      <c r="N123" s="96"/>
      <c r="O123" s="234"/>
      <c r="P123" s="119">
        <f t="shared" si="28"/>
        <v>31702</v>
      </c>
      <c r="Q123" s="48"/>
    </row>
    <row r="124" spans="1:17" s="3" customFormat="1" ht="126.75" customHeight="1" x14ac:dyDescent="0.2">
      <c r="A124" s="199"/>
      <c r="B124" s="104"/>
      <c r="C124" s="105"/>
      <c r="D124" s="309" t="s">
        <v>164</v>
      </c>
      <c r="E124" s="88">
        <f t="shared" si="41"/>
        <v>29069</v>
      </c>
      <c r="F124" s="145">
        <f>514586-485517</f>
        <v>29069</v>
      </c>
      <c r="G124" s="106"/>
      <c r="H124" s="99"/>
      <c r="I124" s="192"/>
      <c r="J124" s="70"/>
      <c r="K124" s="95"/>
      <c r="L124" s="96"/>
      <c r="M124" s="96"/>
      <c r="N124" s="96"/>
      <c r="O124" s="234"/>
      <c r="P124" s="119">
        <f t="shared" si="28"/>
        <v>29069</v>
      </c>
      <c r="Q124" s="48"/>
    </row>
    <row r="125" spans="1:17" s="3" customFormat="1" ht="71.25" customHeight="1" x14ac:dyDescent="0.2">
      <c r="A125" s="199"/>
      <c r="B125" s="194"/>
      <c r="C125" s="195"/>
      <c r="D125" s="309" t="s">
        <v>163</v>
      </c>
      <c r="E125" s="88">
        <f t="shared" si="41"/>
        <v>536738</v>
      </c>
      <c r="F125" s="145">
        <v>536738</v>
      </c>
      <c r="G125" s="106"/>
      <c r="H125" s="99"/>
      <c r="I125" s="192"/>
      <c r="J125" s="70"/>
      <c r="K125" s="95"/>
      <c r="L125" s="96"/>
      <c r="M125" s="96"/>
      <c r="N125" s="96"/>
      <c r="O125" s="234"/>
      <c r="P125" s="119">
        <f t="shared" si="28"/>
        <v>536738</v>
      </c>
      <c r="Q125" s="48"/>
    </row>
    <row r="126" spans="1:17" s="3" customFormat="1" ht="86.25" customHeight="1" x14ac:dyDescent="0.2">
      <c r="A126" s="199"/>
      <c r="B126" s="194"/>
      <c r="C126" s="195"/>
      <c r="D126" s="309" t="s">
        <v>165</v>
      </c>
      <c r="E126" s="88">
        <f t="shared" si="41"/>
        <v>188351</v>
      </c>
      <c r="F126" s="217">
        <v>188351</v>
      </c>
      <c r="G126" s="106"/>
      <c r="H126" s="99"/>
      <c r="I126" s="192"/>
      <c r="J126" s="70"/>
      <c r="K126" s="95"/>
      <c r="L126" s="96"/>
      <c r="M126" s="96"/>
      <c r="N126" s="96"/>
      <c r="O126" s="234"/>
      <c r="P126" s="119">
        <f t="shared" si="28"/>
        <v>188351</v>
      </c>
      <c r="Q126" s="48"/>
    </row>
    <row r="127" spans="1:17" s="3" customFormat="1" ht="88.5" customHeight="1" x14ac:dyDescent="0.2">
      <c r="A127" s="207"/>
      <c r="B127" s="194"/>
      <c r="C127" s="195"/>
      <c r="D127" s="309" t="s">
        <v>204</v>
      </c>
      <c r="E127" s="88">
        <f t="shared" si="41"/>
        <v>953291</v>
      </c>
      <c r="F127" s="145">
        <f>804623+13680+26326+5246+49896+53520</f>
        <v>953291</v>
      </c>
      <c r="G127" s="106"/>
      <c r="H127" s="99"/>
      <c r="I127" s="192"/>
      <c r="J127" s="70"/>
      <c r="K127" s="100"/>
      <c r="L127" s="99"/>
      <c r="M127" s="99"/>
      <c r="N127" s="99"/>
      <c r="O127" s="192"/>
      <c r="P127" s="119">
        <f t="shared" si="28"/>
        <v>953291</v>
      </c>
      <c r="Q127" s="48"/>
    </row>
    <row r="128" spans="1:17" s="3" customFormat="1" ht="120.95" customHeight="1" x14ac:dyDescent="0.2">
      <c r="A128" s="209"/>
      <c r="B128" s="210"/>
      <c r="C128" s="306"/>
      <c r="D128" s="310" t="s">
        <v>231</v>
      </c>
      <c r="E128" s="315">
        <f t="shared" si="41"/>
        <v>249970</v>
      </c>
      <c r="F128" s="217">
        <f>194292+55678</f>
        <v>249970</v>
      </c>
      <c r="G128" s="71"/>
      <c r="H128" s="126"/>
      <c r="I128" s="223"/>
      <c r="J128" s="125"/>
      <c r="K128" s="233"/>
      <c r="L128" s="126"/>
      <c r="M128" s="126"/>
      <c r="N128" s="126"/>
      <c r="O128" s="223"/>
      <c r="P128" s="122">
        <f t="shared" si="28"/>
        <v>249970</v>
      </c>
      <c r="Q128" s="48"/>
    </row>
    <row r="129" spans="1:17" s="3" customFormat="1" ht="64.5" customHeight="1" x14ac:dyDescent="0.2">
      <c r="A129" s="275" t="s">
        <v>235</v>
      </c>
      <c r="B129" s="304">
        <v>9800</v>
      </c>
      <c r="C129" s="69" t="s">
        <v>11</v>
      </c>
      <c r="D129" s="310" t="s">
        <v>236</v>
      </c>
      <c r="E129" s="315">
        <f t="shared" si="41"/>
        <v>11000</v>
      </c>
      <c r="F129" s="217">
        <v>11000</v>
      </c>
      <c r="G129" s="71"/>
      <c r="H129" s="126"/>
      <c r="I129" s="223"/>
      <c r="J129" s="125"/>
      <c r="K129" s="233"/>
      <c r="L129" s="126"/>
      <c r="M129" s="126"/>
      <c r="N129" s="126"/>
      <c r="O129" s="223"/>
      <c r="P129" s="246">
        <f t="shared" si="28"/>
        <v>11000</v>
      </c>
      <c r="Q129" s="48"/>
    </row>
    <row r="130" spans="1:17" ht="16.5" customHeight="1" thickBot="1" x14ac:dyDescent="0.25">
      <c r="A130" s="297" t="s">
        <v>49</v>
      </c>
      <c r="B130" s="305" t="s">
        <v>49</v>
      </c>
      <c r="C130" s="307" t="s">
        <v>49</v>
      </c>
      <c r="D130" s="311" t="s">
        <v>48</v>
      </c>
      <c r="E130" s="316">
        <f t="shared" ref="E130:O130" si="42">E13+E63+E116+E97+E113</f>
        <v>75715506</v>
      </c>
      <c r="F130" s="319">
        <f t="shared" si="42"/>
        <v>75715506</v>
      </c>
      <c r="G130" s="317">
        <f t="shared" si="42"/>
        <v>42474833</v>
      </c>
      <c r="H130" s="292">
        <f t="shared" si="42"/>
        <v>3303119</v>
      </c>
      <c r="I130" s="320">
        <f t="shared" si="42"/>
        <v>0</v>
      </c>
      <c r="J130" s="319">
        <f t="shared" si="42"/>
        <v>17919595</v>
      </c>
      <c r="K130" s="317">
        <f t="shared" si="42"/>
        <v>17228775</v>
      </c>
      <c r="L130" s="292">
        <f t="shared" si="42"/>
        <v>690820</v>
      </c>
      <c r="M130" s="292">
        <f t="shared" si="42"/>
        <v>38500</v>
      </c>
      <c r="N130" s="292">
        <f t="shared" si="42"/>
        <v>21580</v>
      </c>
      <c r="O130" s="320">
        <f t="shared" si="42"/>
        <v>17228775</v>
      </c>
      <c r="P130" s="322">
        <f>P13+P63+P116+P97+P113</f>
        <v>93635101</v>
      </c>
      <c r="Q130" s="48"/>
    </row>
    <row r="131" spans="1:17" ht="55.5" customHeight="1" x14ac:dyDescent="0.3">
      <c r="A131" s="367" t="s">
        <v>142</v>
      </c>
      <c r="B131" s="367"/>
      <c r="C131" s="367"/>
      <c r="D131" s="367"/>
      <c r="E131" s="41"/>
      <c r="H131" s="41"/>
      <c r="I131" s="9"/>
      <c r="J131" s="42"/>
      <c r="K131" s="42"/>
      <c r="L131" s="375" t="s">
        <v>135</v>
      </c>
      <c r="M131" s="375"/>
      <c r="N131" s="43"/>
      <c r="O131" s="72"/>
      <c r="P131" s="73"/>
      <c r="Q131" s="14"/>
    </row>
    <row r="132" spans="1:17" ht="15" customHeight="1" x14ac:dyDescent="0.3">
      <c r="A132" s="74"/>
      <c r="B132" s="74"/>
      <c r="C132" s="75"/>
      <c r="D132" s="76"/>
      <c r="E132" s="41"/>
      <c r="H132" s="41"/>
      <c r="I132" s="9"/>
      <c r="J132" s="44"/>
      <c r="K132" s="44"/>
      <c r="L132" s="77"/>
      <c r="M132" s="77"/>
      <c r="N132" s="45"/>
      <c r="O132" s="46"/>
      <c r="P132" s="73"/>
      <c r="Q132" s="14"/>
    </row>
    <row r="133" spans="1:17" ht="22.5" customHeight="1" x14ac:dyDescent="0.3">
      <c r="A133" s="78" t="s">
        <v>199</v>
      </c>
      <c r="B133" s="75"/>
      <c r="C133" s="75"/>
      <c r="D133" s="76"/>
      <c r="E133" s="9"/>
      <c r="H133" s="41"/>
      <c r="I133" s="9"/>
      <c r="J133" s="44"/>
      <c r="K133" s="44"/>
      <c r="L133" s="345" t="s">
        <v>200</v>
      </c>
      <c r="M133" s="345"/>
      <c r="N133" s="46"/>
      <c r="O133" s="46"/>
      <c r="P133" s="73"/>
      <c r="Q133" s="14"/>
    </row>
    <row r="134" spans="1:17" ht="16.5" customHeight="1" x14ac:dyDescent="0.3">
      <c r="A134" s="51"/>
      <c r="B134" s="79"/>
      <c r="C134" s="79"/>
      <c r="D134" s="9"/>
      <c r="E134" s="26"/>
      <c r="F134" s="26"/>
      <c r="G134" s="10"/>
      <c r="H134" s="10"/>
      <c r="I134" s="10"/>
      <c r="J134" s="27"/>
      <c r="K134" s="11"/>
      <c r="L134" s="11"/>
      <c r="M134" s="11"/>
      <c r="N134" s="31"/>
      <c r="O134" s="31"/>
      <c r="P134" s="80"/>
      <c r="Q134" s="14"/>
    </row>
    <row r="135" spans="1:17" ht="20.25" x14ac:dyDescent="0.3">
      <c r="A135" s="51"/>
      <c r="B135" s="81"/>
      <c r="C135" s="81"/>
      <c r="D135" s="82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15"/>
    </row>
    <row r="136" spans="1:17" ht="20.25" x14ac:dyDescent="0.3">
      <c r="A136" s="51"/>
      <c r="B136" s="81"/>
      <c r="C136" s="81"/>
      <c r="D136" s="84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15"/>
    </row>
    <row r="137" spans="1:17" ht="18.75" x14ac:dyDescent="0.3">
      <c r="B137" s="16"/>
      <c r="C137" s="16"/>
      <c r="D137" s="1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7" ht="18.75" x14ac:dyDescent="0.3">
      <c r="B138" s="16"/>
      <c r="C138" s="16"/>
      <c r="D138" s="1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7" ht="18.75" x14ac:dyDescent="0.3">
      <c r="B139" s="16"/>
      <c r="C139" s="16"/>
      <c r="D139" s="1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13"/>
    </row>
    <row r="140" spans="1:17" ht="18.75" x14ac:dyDescent="0.3">
      <c r="B140" s="16"/>
      <c r="C140" s="16"/>
      <c r="D140" s="1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7" ht="18.75" hidden="1" x14ac:dyDescent="0.3">
      <c r="B141" s="16"/>
      <c r="C141" s="16"/>
      <c r="D141" s="12"/>
      <c r="E141" s="2"/>
      <c r="F141" s="2"/>
      <c r="G141" s="2"/>
      <c r="H141" s="2"/>
      <c r="I141" s="2"/>
      <c r="J141" s="23"/>
      <c r="K141" s="23"/>
      <c r="L141" s="23"/>
      <c r="M141" s="23"/>
      <c r="N141" s="23"/>
      <c r="O141" s="23"/>
      <c r="P141" s="17"/>
    </row>
    <row r="142" spans="1:17" ht="18.75" hidden="1" x14ac:dyDescent="0.3">
      <c r="B142" s="16"/>
      <c r="C142" s="16"/>
      <c r="D142" s="12"/>
      <c r="E142" s="2"/>
      <c r="F142" s="2"/>
      <c r="G142" s="2"/>
      <c r="H142" s="2"/>
      <c r="I142" s="2"/>
      <c r="J142" s="23"/>
      <c r="K142" s="23"/>
      <c r="L142" s="23"/>
      <c r="M142" s="23"/>
      <c r="N142" s="23"/>
      <c r="O142" s="23"/>
      <c r="P142" s="17"/>
    </row>
    <row r="143" spans="1:17" ht="18.75" hidden="1" x14ac:dyDescent="0.3">
      <c r="B143" s="16"/>
      <c r="C143" s="16"/>
      <c r="D143" s="12"/>
      <c r="E143" s="2"/>
      <c r="F143" s="2"/>
      <c r="G143" s="2"/>
      <c r="H143" s="2"/>
      <c r="I143" s="2"/>
      <c r="J143" s="23"/>
      <c r="K143" s="23"/>
      <c r="L143" s="23"/>
      <c r="M143" s="23"/>
      <c r="N143" s="23"/>
      <c r="O143" s="23"/>
      <c r="P143" s="17"/>
    </row>
    <row r="144" spans="1:17" ht="18.75" hidden="1" x14ac:dyDescent="0.3">
      <c r="B144" s="16"/>
      <c r="C144" s="16"/>
      <c r="D144" s="1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2:18" ht="18.75" x14ac:dyDescent="0.3">
      <c r="B145" s="16"/>
      <c r="C145" s="16"/>
      <c r="D145" s="1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R145" s="4"/>
    </row>
    <row r="146" spans="2:18" ht="18.75" x14ac:dyDescent="0.3">
      <c r="B146" s="16"/>
      <c r="C146" s="16"/>
      <c r="D146" s="1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17"/>
    </row>
    <row r="147" spans="2:18" ht="18.75" x14ac:dyDescent="0.3">
      <c r="B147" s="16"/>
      <c r="C147" s="16"/>
      <c r="D147" s="1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2:18" ht="23.25" x14ac:dyDescent="0.35">
      <c r="B148" s="16"/>
      <c r="C148" s="16"/>
      <c r="D148" s="1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5"/>
    </row>
    <row r="149" spans="2:18" ht="18.75" hidden="1" customHeight="1" x14ac:dyDescent="0.3">
      <c r="B149" s="16"/>
      <c r="C149" s="16"/>
      <c r="D149" s="1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17"/>
    </row>
    <row r="150" spans="2:18" ht="1.5" hidden="1" customHeight="1" x14ac:dyDescent="0.3">
      <c r="B150" s="16"/>
      <c r="C150" s="16"/>
      <c r="D150" s="12"/>
      <c r="E150" s="2"/>
      <c r="F150" s="2"/>
      <c r="G150" s="2"/>
      <c r="H150" s="2"/>
      <c r="I150" s="2"/>
      <c r="J150" s="23"/>
      <c r="K150" s="23"/>
      <c r="L150" s="23"/>
      <c r="M150" s="23"/>
      <c r="N150" s="24"/>
      <c r="O150" s="24"/>
      <c r="P150" s="17"/>
    </row>
    <row r="151" spans="2:18" ht="18.75" hidden="1" x14ac:dyDescent="0.3">
      <c r="B151" s="16"/>
      <c r="C151" s="16"/>
      <c r="D151" s="1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2:18" ht="18.75" hidden="1" x14ac:dyDescent="0.3">
      <c r="B152" s="16"/>
      <c r="C152" s="16"/>
      <c r="D152" s="1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17"/>
      <c r="Q152" s="15"/>
    </row>
    <row r="153" spans="2:18" ht="18.75" hidden="1" x14ac:dyDescent="0.3">
      <c r="B153" s="16"/>
      <c r="C153" s="16"/>
      <c r="D153" s="1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5"/>
    </row>
    <row r="154" spans="2:18" ht="18.75" x14ac:dyDescent="0.3">
      <c r="B154" s="16"/>
      <c r="C154" s="16"/>
      <c r="D154" s="1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15"/>
    </row>
    <row r="155" spans="2:18" ht="18.75" x14ac:dyDescent="0.3">
      <c r="B155" s="16"/>
      <c r="C155" s="16"/>
      <c r="D155" s="1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15"/>
    </row>
    <row r="156" spans="2:18" ht="18.75" x14ac:dyDescent="0.3">
      <c r="B156" s="16"/>
      <c r="C156" s="16"/>
      <c r="D156" s="1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15"/>
    </row>
    <row r="157" spans="2:18" ht="18.75" x14ac:dyDescent="0.3">
      <c r="B157" s="16"/>
      <c r="C157" s="16"/>
      <c r="D157" s="1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15"/>
    </row>
    <row r="158" spans="2:18" ht="18.75" hidden="1" x14ac:dyDescent="0.3">
      <c r="B158" s="16"/>
      <c r="C158" s="16"/>
      <c r="D158" s="1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15"/>
    </row>
    <row r="159" spans="2:18" ht="18.75" hidden="1" x14ac:dyDescent="0.3">
      <c r="B159" s="16"/>
      <c r="C159" s="16"/>
      <c r="D159" s="1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15"/>
    </row>
    <row r="160" spans="2:18" ht="18.75" hidden="1" x14ac:dyDescent="0.3">
      <c r="B160" s="16"/>
      <c r="C160" s="16"/>
      <c r="D160" s="1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15"/>
    </row>
    <row r="161" spans="2:17" ht="27" customHeight="1" x14ac:dyDescent="0.3">
      <c r="B161" s="16"/>
      <c r="C161" s="16"/>
      <c r="D161" s="12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15"/>
    </row>
    <row r="162" spans="2:17" ht="18.75" x14ac:dyDescent="0.3">
      <c r="B162" s="16"/>
      <c r="C162" s="16"/>
      <c r="D162" s="12"/>
      <c r="E162" s="22"/>
      <c r="F162" s="22"/>
      <c r="G162" s="22"/>
      <c r="H162" s="22"/>
      <c r="I162" s="22"/>
      <c r="J162" s="20"/>
      <c r="K162" s="20"/>
      <c r="L162" s="20"/>
      <c r="M162" s="20"/>
      <c r="N162" s="20"/>
      <c r="O162" s="20"/>
      <c r="P162" s="17"/>
      <c r="Q162" s="15"/>
    </row>
    <row r="163" spans="2:17" ht="18.75" x14ac:dyDescent="0.3">
      <c r="B163" s="16"/>
      <c r="C163" s="16"/>
      <c r="D163" s="12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15"/>
    </row>
    <row r="164" spans="2:17" ht="24.75" customHeight="1" x14ac:dyDescent="0.3">
      <c r="B164" s="16"/>
      <c r="C164" s="16"/>
      <c r="D164" s="2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17"/>
    </row>
    <row r="165" spans="2:17" ht="18.75" x14ac:dyDescent="0.3">
      <c r="B165" s="16"/>
      <c r="C165" s="16"/>
      <c r="D165" s="19"/>
      <c r="E165" s="2"/>
      <c r="F165" s="2"/>
      <c r="G165" s="2"/>
      <c r="H165" s="2"/>
      <c r="I165" s="2"/>
      <c r="J165" s="4"/>
      <c r="K165" s="4"/>
      <c r="L165" s="4"/>
      <c r="M165" s="4"/>
      <c r="N165" s="18"/>
      <c r="O165" s="18"/>
      <c r="P165" s="17"/>
    </row>
    <row r="166" spans="2:17" ht="18.75" x14ac:dyDescent="0.3">
      <c r="B166" s="16"/>
      <c r="C166" s="16"/>
      <c r="D166" s="2"/>
      <c r="E166" s="2"/>
      <c r="F166" s="2"/>
      <c r="G166" s="2"/>
      <c r="H166" s="2"/>
      <c r="I166" s="2"/>
      <c r="N166" s="5"/>
      <c r="O166" s="5"/>
      <c r="P166" s="17"/>
    </row>
    <row r="167" spans="2:17" ht="18.75" x14ac:dyDescent="0.3">
      <c r="B167" s="16"/>
      <c r="C167" s="16"/>
      <c r="D167" s="2"/>
      <c r="E167" s="30"/>
      <c r="F167" s="2"/>
      <c r="G167" s="2"/>
      <c r="H167" s="2"/>
      <c r="I167" s="2"/>
      <c r="N167" s="5"/>
      <c r="O167" s="5"/>
      <c r="P167" s="17"/>
    </row>
    <row r="168" spans="2:17" ht="18.75" x14ac:dyDescent="0.3">
      <c r="B168" s="16"/>
      <c r="C168" s="16"/>
      <c r="D168" s="2"/>
      <c r="E168" s="2"/>
      <c r="F168" s="2"/>
      <c r="G168" s="2"/>
      <c r="H168" s="2"/>
      <c r="I168" s="2"/>
      <c r="N168" s="5"/>
      <c r="O168" s="5"/>
      <c r="P168" s="17"/>
    </row>
    <row r="169" spans="2:17" ht="18.75" x14ac:dyDescent="0.3">
      <c r="B169" s="16"/>
      <c r="C169" s="16"/>
      <c r="D169" s="2"/>
      <c r="E169" s="2"/>
      <c r="F169" s="2"/>
      <c r="G169" s="2"/>
      <c r="H169" s="2"/>
      <c r="I169" s="2"/>
      <c r="N169" s="5"/>
      <c r="O169" s="5"/>
      <c r="P169" s="17"/>
    </row>
    <row r="170" spans="2:17" ht="18.75" x14ac:dyDescent="0.3">
      <c r="B170" s="16"/>
      <c r="C170" s="16"/>
      <c r="D170" s="2"/>
      <c r="E170" s="2"/>
      <c r="F170" s="2"/>
      <c r="G170" s="2"/>
      <c r="H170" s="2"/>
      <c r="I170" s="2"/>
      <c r="P170" s="17"/>
    </row>
    <row r="171" spans="2:17" ht="18.75" x14ac:dyDescent="0.3">
      <c r="B171" s="16"/>
      <c r="C171" s="16"/>
      <c r="D171" s="2"/>
      <c r="E171" s="2"/>
      <c r="F171" s="2"/>
      <c r="G171" s="2"/>
      <c r="H171" s="2"/>
      <c r="I171" s="2"/>
      <c r="P171" s="17"/>
    </row>
    <row r="172" spans="2:17" ht="18.75" x14ac:dyDescent="0.3">
      <c r="B172" s="16"/>
      <c r="C172" s="16"/>
      <c r="D172" s="2"/>
      <c r="E172" s="2"/>
      <c r="F172" s="2"/>
      <c r="G172" s="2"/>
      <c r="H172" s="2"/>
      <c r="I172" s="2"/>
      <c r="P172" s="17"/>
    </row>
    <row r="173" spans="2:17" ht="18.75" x14ac:dyDescent="0.3">
      <c r="B173" s="16"/>
      <c r="C173" s="16"/>
      <c r="D173" s="2"/>
      <c r="E173" s="2"/>
      <c r="F173" s="2"/>
      <c r="G173" s="2"/>
      <c r="H173" s="2"/>
      <c r="I173" s="2"/>
      <c r="P173" s="17"/>
    </row>
    <row r="174" spans="2:17" ht="18.75" x14ac:dyDescent="0.3">
      <c r="B174" s="16"/>
      <c r="C174" s="16"/>
      <c r="D174" s="2"/>
      <c r="E174" s="2"/>
      <c r="F174" s="2"/>
      <c r="G174" s="2"/>
      <c r="H174" s="2"/>
      <c r="I174" s="2"/>
      <c r="P174" s="17"/>
    </row>
    <row r="175" spans="2:17" ht="18.75" x14ac:dyDescent="0.3">
      <c r="B175" s="16"/>
      <c r="C175" s="16"/>
      <c r="D175" s="2"/>
      <c r="E175" s="2"/>
      <c r="F175" s="2"/>
      <c r="G175" s="2"/>
      <c r="H175" s="2"/>
      <c r="I175" s="2"/>
      <c r="P175" s="17"/>
    </row>
    <row r="176" spans="2:17" ht="18.75" x14ac:dyDescent="0.3">
      <c r="B176" s="16"/>
      <c r="C176" s="16"/>
      <c r="D176" s="2"/>
      <c r="E176" s="2"/>
      <c r="F176" s="2"/>
      <c r="G176" s="2"/>
      <c r="H176" s="2"/>
      <c r="I176" s="2"/>
      <c r="P176" s="17"/>
    </row>
    <row r="177" spans="2:16" ht="18.75" x14ac:dyDescent="0.3">
      <c r="B177" s="16"/>
      <c r="C177" s="16"/>
      <c r="D177" s="2"/>
      <c r="E177" s="2"/>
      <c r="F177" s="2"/>
      <c r="G177" s="2"/>
      <c r="H177" s="2"/>
      <c r="I177" s="2"/>
      <c r="P177" s="17"/>
    </row>
    <row r="178" spans="2:16" ht="18.75" x14ac:dyDescent="0.3">
      <c r="B178" s="16"/>
      <c r="C178" s="16"/>
      <c r="D178" s="2"/>
      <c r="E178" s="2"/>
      <c r="F178" s="2"/>
      <c r="G178" s="2"/>
      <c r="H178" s="2"/>
      <c r="I178" s="2"/>
      <c r="P178" s="17"/>
    </row>
    <row r="179" spans="2:16" ht="18.75" x14ac:dyDescent="0.3">
      <c r="B179" s="16"/>
      <c r="C179" s="16"/>
      <c r="D179" s="2"/>
      <c r="E179" s="2"/>
      <c r="F179" s="2"/>
      <c r="G179" s="2"/>
      <c r="H179" s="2"/>
      <c r="I179" s="2"/>
      <c r="P179" s="17"/>
    </row>
    <row r="180" spans="2:16" ht="18.75" x14ac:dyDescent="0.3">
      <c r="B180" s="16"/>
      <c r="C180" s="16"/>
      <c r="D180" s="2"/>
      <c r="E180" s="2"/>
      <c r="F180" s="2"/>
      <c r="G180" s="2"/>
      <c r="H180" s="2"/>
      <c r="I180" s="2"/>
      <c r="P180" s="17"/>
    </row>
    <row r="181" spans="2:16" ht="18.75" x14ac:dyDescent="0.3">
      <c r="B181" s="16"/>
      <c r="C181" s="16"/>
      <c r="D181" s="2"/>
      <c r="E181" s="2"/>
      <c r="F181" s="2"/>
      <c r="G181" s="2"/>
      <c r="H181" s="2"/>
      <c r="I181" s="2"/>
      <c r="P181" s="17"/>
    </row>
    <row r="182" spans="2:16" ht="18.75" x14ac:dyDescent="0.3">
      <c r="B182" s="16"/>
      <c r="C182" s="16"/>
      <c r="D182" s="2"/>
      <c r="E182" s="2"/>
      <c r="F182" s="2"/>
      <c r="G182" s="2"/>
      <c r="H182" s="2"/>
      <c r="I182" s="2"/>
      <c r="P182" s="17"/>
    </row>
    <row r="183" spans="2:16" ht="18.75" x14ac:dyDescent="0.3">
      <c r="B183" s="16"/>
      <c r="C183" s="16"/>
      <c r="D183" s="2"/>
      <c r="E183" s="2"/>
      <c r="F183" s="2"/>
      <c r="G183" s="2"/>
      <c r="H183" s="2"/>
      <c r="I183" s="2"/>
      <c r="P183" s="17"/>
    </row>
    <row r="184" spans="2:16" ht="18.75" x14ac:dyDescent="0.3">
      <c r="B184" s="16"/>
      <c r="C184" s="16"/>
      <c r="D184" s="2"/>
      <c r="E184" s="2"/>
      <c r="F184" s="2"/>
      <c r="G184" s="2"/>
      <c r="H184" s="2"/>
      <c r="I184" s="2"/>
      <c r="P184" s="17"/>
    </row>
    <row r="185" spans="2:16" ht="18.75" x14ac:dyDescent="0.3">
      <c r="B185" s="16"/>
      <c r="C185" s="16"/>
      <c r="D185" s="2"/>
      <c r="E185" s="2"/>
      <c r="F185" s="2"/>
      <c r="G185" s="2"/>
      <c r="H185" s="2"/>
      <c r="I185" s="2"/>
      <c r="P185" s="17"/>
    </row>
    <row r="186" spans="2:16" ht="18.75" x14ac:dyDescent="0.3">
      <c r="B186" s="16"/>
      <c r="C186" s="16"/>
      <c r="D186" s="2"/>
      <c r="E186" s="2"/>
      <c r="F186" s="2"/>
      <c r="G186" s="2"/>
      <c r="H186" s="2"/>
      <c r="I186" s="2"/>
      <c r="P186" s="17"/>
    </row>
    <row r="187" spans="2:16" ht="18.75" x14ac:dyDescent="0.3">
      <c r="B187" s="16"/>
      <c r="C187" s="16"/>
      <c r="D187" s="2"/>
      <c r="E187" s="2"/>
      <c r="F187" s="2"/>
      <c r="G187" s="2"/>
      <c r="H187" s="2"/>
      <c r="I187" s="2"/>
      <c r="P187" s="17"/>
    </row>
    <row r="188" spans="2:16" ht="18.75" x14ac:dyDescent="0.3">
      <c r="B188" s="16"/>
      <c r="C188" s="16"/>
      <c r="D188" s="2"/>
      <c r="E188" s="2"/>
      <c r="F188" s="2"/>
      <c r="G188" s="2"/>
      <c r="H188" s="2"/>
      <c r="I188" s="2"/>
      <c r="P188" s="17"/>
    </row>
    <row r="189" spans="2:16" ht="18.75" x14ac:dyDescent="0.3">
      <c r="B189" s="16"/>
      <c r="C189" s="16"/>
      <c r="D189" s="2"/>
      <c r="E189" s="2"/>
      <c r="F189" s="2"/>
      <c r="G189" s="2"/>
      <c r="H189" s="2"/>
      <c r="I189" s="2"/>
      <c r="P189" s="17"/>
    </row>
    <row r="190" spans="2:16" ht="18.75" x14ac:dyDescent="0.3">
      <c r="B190" s="16"/>
      <c r="C190" s="16"/>
      <c r="D190" s="2"/>
      <c r="E190" s="2"/>
      <c r="F190" s="2"/>
      <c r="G190" s="2"/>
      <c r="H190" s="2"/>
      <c r="I190" s="2"/>
      <c r="P190" s="17"/>
    </row>
    <row r="191" spans="2:16" ht="18.75" x14ac:dyDescent="0.3">
      <c r="B191" s="16"/>
      <c r="C191" s="16"/>
      <c r="D191" s="2"/>
      <c r="E191" s="2"/>
      <c r="F191" s="2"/>
      <c r="G191" s="2"/>
      <c r="H191" s="2"/>
      <c r="I191" s="2"/>
      <c r="P191" s="17"/>
    </row>
    <row r="192" spans="2:16" ht="18.75" x14ac:dyDescent="0.3">
      <c r="B192" s="16"/>
      <c r="C192" s="16"/>
      <c r="D192" s="2"/>
      <c r="E192" s="2"/>
      <c r="F192" s="2"/>
      <c r="G192" s="2"/>
      <c r="H192" s="2"/>
      <c r="I192" s="2"/>
      <c r="P192" s="17"/>
    </row>
    <row r="193" spans="2:16" ht="18.75" x14ac:dyDescent="0.3">
      <c r="B193" s="16"/>
      <c r="C193" s="16"/>
      <c r="D193" s="2"/>
      <c r="E193" s="2"/>
      <c r="F193" s="2"/>
      <c r="G193" s="2"/>
      <c r="H193" s="2"/>
      <c r="I193" s="2"/>
      <c r="P193" s="17"/>
    </row>
    <row r="194" spans="2:16" ht="18.75" x14ac:dyDescent="0.3">
      <c r="B194" s="16"/>
      <c r="C194" s="16"/>
      <c r="D194" s="2"/>
      <c r="E194" s="2"/>
      <c r="F194" s="2"/>
      <c r="G194" s="2"/>
      <c r="H194" s="2"/>
      <c r="I194" s="2"/>
      <c r="P194" s="17"/>
    </row>
    <row r="195" spans="2:16" ht="18.75" x14ac:dyDescent="0.3">
      <c r="B195" s="16"/>
      <c r="C195" s="16"/>
      <c r="D195" s="2"/>
      <c r="E195" s="2"/>
      <c r="F195" s="2"/>
      <c r="G195" s="2"/>
      <c r="H195" s="2"/>
      <c r="I195" s="2"/>
      <c r="P195" s="17"/>
    </row>
    <row r="196" spans="2:16" ht="18.75" x14ac:dyDescent="0.3">
      <c r="B196" s="16"/>
      <c r="C196" s="16"/>
      <c r="D196" s="2"/>
      <c r="E196" s="2"/>
      <c r="F196" s="2"/>
      <c r="G196" s="2"/>
      <c r="H196" s="2"/>
      <c r="I196" s="2"/>
      <c r="P196" s="17"/>
    </row>
    <row r="197" spans="2:16" ht="18.75" x14ac:dyDescent="0.3">
      <c r="B197" s="16"/>
      <c r="C197" s="16"/>
      <c r="D197" s="2"/>
      <c r="E197" s="2"/>
      <c r="F197" s="2"/>
      <c r="G197" s="2"/>
      <c r="H197" s="2"/>
      <c r="I197" s="2"/>
      <c r="P197" s="17"/>
    </row>
    <row r="198" spans="2:16" ht="18.75" x14ac:dyDescent="0.3">
      <c r="B198" s="16"/>
      <c r="C198" s="16"/>
      <c r="D198" s="2"/>
      <c r="E198" s="2"/>
      <c r="F198" s="2"/>
      <c r="G198" s="2"/>
      <c r="H198" s="2"/>
      <c r="I198" s="2"/>
      <c r="P198" s="17"/>
    </row>
    <row r="199" spans="2:16" ht="18.75" x14ac:dyDescent="0.3">
      <c r="B199" s="16"/>
      <c r="C199" s="16"/>
      <c r="D199" s="2"/>
      <c r="E199" s="2"/>
      <c r="F199" s="2"/>
      <c r="G199" s="2"/>
      <c r="H199" s="2"/>
      <c r="I199" s="2"/>
      <c r="P199" s="17"/>
    </row>
    <row r="200" spans="2:16" ht="18.75" x14ac:dyDescent="0.3">
      <c r="B200" s="16"/>
      <c r="C200" s="16"/>
      <c r="D200" s="2"/>
      <c r="E200" s="2"/>
      <c r="F200" s="2"/>
      <c r="G200" s="2"/>
      <c r="H200" s="2"/>
      <c r="I200" s="2"/>
      <c r="P200" s="17"/>
    </row>
    <row r="201" spans="2:16" ht="18.75" x14ac:dyDescent="0.3">
      <c r="B201" s="16"/>
      <c r="C201" s="16"/>
      <c r="D201" s="2"/>
      <c r="E201" s="2"/>
      <c r="F201" s="2"/>
      <c r="G201" s="2"/>
      <c r="H201" s="2"/>
      <c r="I201" s="2"/>
      <c r="P201" s="17"/>
    </row>
    <row r="202" spans="2:16" ht="18.75" x14ac:dyDescent="0.3">
      <c r="B202" s="16"/>
      <c r="C202" s="16"/>
      <c r="D202" s="2"/>
      <c r="E202" s="2"/>
      <c r="F202" s="2"/>
      <c r="G202" s="2"/>
      <c r="H202" s="2"/>
      <c r="I202" s="2"/>
      <c r="P202" s="17"/>
    </row>
    <row r="203" spans="2:16" ht="18.75" x14ac:dyDescent="0.2">
      <c r="B203" s="6"/>
      <c r="C203" s="6"/>
      <c r="D203" s="2"/>
      <c r="E203" s="2"/>
      <c r="F203" s="2"/>
      <c r="G203" s="2"/>
      <c r="H203" s="2"/>
      <c r="I203" s="2"/>
      <c r="P203" s="17"/>
    </row>
    <row r="204" spans="2:16" ht="18.75" x14ac:dyDescent="0.2">
      <c r="B204" s="6"/>
      <c r="C204" s="6"/>
      <c r="D204" s="2"/>
      <c r="E204" s="2"/>
      <c r="F204" s="2"/>
      <c r="G204" s="2"/>
      <c r="H204" s="2"/>
      <c r="I204" s="2"/>
      <c r="P204" s="17"/>
    </row>
    <row r="205" spans="2:16" ht="18.75" x14ac:dyDescent="0.2">
      <c r="B205" s="6"/>
      <c r="C205" s="6"/>
      <c r="D205" s="2"/>
      <c r="E205" s="2"/>
      <c r="F205" s="2"/>
      <c r="G205" s="2"/>
      <c r="H205" s="2"/>
      <c r="I205" s="2"/>
      <c r="P205" s="17"/>
    </row>
    <row r="206" spans="2:16" ht="18.75" x14ac:dyDescent="0.2">
      <c r="B206" s="6"/>
      <c r="C206" s="6"/>
      <c r="D206" s="2"/>
      <c r="E206" s="2"/>
      <c r="F206" s="2"/>
      <c r="G206" s="2"/>
      <c r="H206" s="2"/>
      <c r="I206" s="2"/>
      <c r="P206" s="17"/>
    </row>
    <row r="207" spans="2:16" ht="18.75" x14ac:dyDescent="0.2">
      <c r="B207" s="6"/>
      <c r="C207" s="6"/>
      <c r="D207" s="2"/>
      <c r="E207" s="2"/>
      <c r="F207" s="2"/>
      <c r="G207" s="2"/>
      <c r="H207" s="2"/>
      <c r="I207" s="2"/>
      <c r="P207" s="17"/>
    </row>
    <row r="208" spans="2:16" ht="18.75" x14ac:dyDescent="0.2">
      <c r="B208" s="6"/>
      <c r="C208" s="6"/>
      <c r="D208" s="2"/>
      <c r="E208" s="2"/>
      <c r="F208" s="2"/>
      <c r="G208" s="2"/>
      <c r="H208" s="2"/>
      <c r="I208" s="2"/>
      <c r="P208" s="17"/>
    </row>
    <row r="209" spans="2:16" ht="18.75" x14ac:dyDescent="0.2">
      <c r="B209" s="6"/>
      <c r="C209" s="6"/>
      <c r="D209" s="2"/>
      <c r="E209" s="2"/>
      <c r="F209" s="2"/>
      <c r="G209" s="2"/>
      <c r="H209" s="2"/>
      <c r="I209" s="2"/>
      <c r="P209" s="17"/>
    </row>
    <row r="210" spans="2:16" ht="18.75" x14ac:dyDescent="0.2">
      <c r="B210" s="6"/>
      <c r="C210" s="6"/>
      <c r="D210" s="2"/>
      <c r="E210" s="2"/>
      <c r="F210" s="2"/>
      <c r="G210" s="2"/>
      <c r="H210" s="2"/>
      <c r="I210" s="2"/>
      <c r="P210" s="17"/>
    </row>
    <row r="211" spans="2:16" ht="18.75" x14ac:dyDescent="0.2">
      <c r="B211" s="6"/>
      <c r="C211" s="6"/>
      <c r="D211" s="2"/>
      <c r="E211" s="2"/>
      <c r="F211" s="2"/>
      <c r="G211" s="2"/>
      <c r="H211" s="2"/>
      <c r="I211" s="2"/>
      <c r="P211" s="17"/>
    </row>
    <row r="212" spans="2:16" ht="18.75" x14ac:dyDescent="0.2">
      <c r="B212" s="6"/>
      <c r="C212" s="6"/>
      <c r="D212" s="2"/>
      <c r="E212" s="2"/>
      <c r="F212" s="2"/>
      <c r="G212" s="2"/>
      <c r="H212" s="2"/>
      <c r="I212" s="2"/>
      <c r="P212" s="17"/>
    </row>
    <row r="213" spans="2:16" ht="18.75" x14ac:dyDescent="0.2">
      <c r="B213" s="6"/>
      <c r="C213" s="6"/>
      <c r="D213" s="2"/>
      <c r="E213" s="2"/>
      <c r="F213" s="2"/>
      <c r="G213" s="2"/>
      <c r="H213" s="2"/>
      <c r="I213" s="2"/>
      <c r="P213" s="17"/>
    </row>
    <row r="214" spans="2:16" ht="18.75" x14ac:dyDescent="0.2">
      <c r="B214" s="6"/>
      <c r="C214" s="6"/>
      <c r="D214" s="2"/>
      <c r="E214" s="2"/>
      <c r="F214" s="2"/>
      <c r="G214" s="2"/>
      <c r="H214" s="2"/>
      <c r="I214" s="2"/>
      <c r="P214" s="17"/>
    </row>
    <row r="215" spans="2:16" ht="18.75" x14ac:dyDescent="0.2">
      <c r="B215" s="6"/>
      <c r="C215" s="6"/>
      <c r="D215" s="2"/>
      <c r="E215" s="2"/>
      <c r="F215" s="2"/>
      <c r="G215" s="2"/>
      <c r="H215" s="2"/>
      <c r="I215" s="2"/>
      <c r="P215" s="17"/>
    </row>
    <row r="216" spans="2:16" ht="18.75" x14ac:dyDescent="0.2">
      <c r="B216" s="6"/>
      <c r="C216" s="6"/>
      <c r="D216" s="2"/>
      <c r="E216" s="2"/>
      <c r="F216" s="2"/>
      <c r="G216" s="2"/>
      <c r="H216" s="2"/>
      <c r="I216" s="2"/>
      <c r="P216" s="17"/>
    </row>
    <row r="217" spans="2:16" ht="18.75" x14ac:dyDescent="0.2">
      <c r="B217" s="6"/>
      <c r="C217" s="6"/>
      <c r="D217" s="2"/>
      <c r="E217" s="2"/>
      <c r="F217" s="2"/>
      <c r="G217" s="2"/>
      <c r="H217" s="2"/>
      <c r="I217" s="2"/>
      <c r="P217" s="17"/>
    </row>
    <row r="218" spans="2:16" ht="18.75" x14ac:dyDescent="0.2">
      <c r="B218" s="6"/>
      <c r="C218" s="6"/>
      <c r="D218" s="2"/>
      <c r="E218" s="2"/>
      <c r="F218" s="2"/>
      <c r="G218" s="2"/>
      <c r="H218" s="2"/>
      <c r="I218" s="2"/>
      <c r="P218" s="17"/>
    </row>
    <row r="219" spans="2:16" ht="18.75" x14ac:dyDescent="0.2">
      <c r="B219" s="6"/>
      <c r="C219" s="6"/>
      <c r="D219" s="2"/>
      <c r="E219" s="2"/>
      <c r="F219" s="2"/>
      <c r="G219" s="2"/>
      <c r="H219" s="2"/>
      <c r="I219" s="2"/>
      <c r="P219" s="17"/>
    </row>
    <row r="220" spans="2:16" ht="18.75" x14ac:dyDescent="0.2">
      <c r="B220" s="6"/>
      <c r="C220" s="6"/>
      <c r="D220" s="2"/>
      <c r="E220" s="2"/>
      <c r="F220" s="2"/>
      <c r="G220" s="2"/>
      <c r="H220" s="2"/>
      <c r="I220" s="2"/>
      <c r="P220" s="17"/>
    </row>
    <row r="221" spans="2:16" ht="18.75" x14ac:dyDescent="0.2">
      <c r="B221" s="6"/>
      <c r="C221" s="6"/>
      <c r="D221" s="2"/>
      <c r="E221" s="2"/>
      <c r="F221" s="2"/>
      <c r="G221" s="2"/>
      <c r="H221" s="2"/>
      <c r="I221" s="2"/>
      <c r="P221" s="17"/>
    </row>
    <row r="222" spans="2:16" ht="18.75" x14ac:dyDescent="0.2">
      <c r="B222" s="6"/>
      <c r="C222" s="6"/>
      <c r="D222" s="2"/>
      <c r="E222" s="2"/>
      <c r="F222" s="2"/>
      <c r="G222" s="2"/>
      <c r="H222" s="2"/>
      <c r="I222" s="2"/>
      <c r="P222" s="17"/>
    </row>
    <row r="223" spans="2:16" ht="18.75" x14ac:dyDescent="0.2">
      <c r="B223" s="6"/>
      <c r="C223" s="6"/>
      <c r="D223" s="2"/>
      <c r="E223" s="2"/>
      <c r="F223" s="2"/>
      <c r="G223" s="2"/>
      <c r="H223" s="2"/>
      <c r="I223" s="2"/>
      <c r="P223" s="17"/>
    </row>
    <row r="224" spans="2:16" ht="18.75" x14ac:dyDescent="0.2">
      <c r="B224" s="6"/>
      <c r="C224" s="6"/>
      <c r="D224" s="2"/>
      <c r="E224" s="2"/>
      <c r="F224" s="2"/>
      <c r="G224" s="2"/>
      <c r="H224" s="2"/>
      <c r="I224" s="2"/>
      <c r="P224" s="17"/>
    </row>
    <row r="225" spans="2:16" ht="18.75" x14ac:dyDescent="0.2">
      <c r="B225" s="6"/>
      <c r="C225" s="6"/>
      <c r="D225" s="2"/>
      <c r="E225" s="2"/>
      <c r="F225" s="2"/>
      <c r="G225" s="2"/>
      <c r="H225" s="2"/>
      <c r="I225" s="2"/>
      <c r="P225" s="17"/>
    </row>
    <row r="226" spans="2:16" ht="18.75" x14ac:dyDescent="0.2">
      <c r="B226" s="6"/>
      <c r="C226" s="6"/>
      <c r="D226" s="2"/>
      <c r="E226" s="2"/>
      <c r="F226" s="2"/>
      <c r="G226" s="2"/>
      <c r="H226" s="2"/>
      <c r="I226" s="2"/>
      <c r="P226" s="17"/>
    </row>
    <row r="227" spans="2:16" ht="18.75" x14ac:dyDescent="0.2">
      <c r="B227" s="6"/>
      <c r="C227" s="6"/>
      <c r="D227" s="2"/>
      <c r="E227" s="2"/>
      <c r="F227" s="2"/>
      <c r="G227" s="2"/>
      <c r="H227" s="2"/>
      <c r="I227" s="2"/>
      <c r="P227" s="17"/>
    </row>
    <row r="228" spans="2:16" ht="18.75" x14ac:dyDescent="0.2">
      <c r="B228" s="6"/>
      <c r="C228" s="6"/>
      <c r="D228" s="2"/>
      <c r="E228" s="2"/>
      <c r="F228" s="2"/>
      <c r="G228" s="2"/>
      <c r="H228" s="2"/>
      <c r="I228" s="2"/>
      <c r="P228" s="17"/>
    </row>
    <row r="229" spans="2:16" ht="18.75" x14ac:dyDescent="0.2">
      <c r="B229" s="6"/>
      <c r="C229" s="6"/>
      <c r="D229" s="2"/>
      <c r="E229" s="2"/>
      <c r="F229" s="2"/>
      <c r="G229" s="2"/>
      <c r="H229" s="2"/>
      <c r="I229" s="2"/>
      <c r="P229" s="17"/>
    </row>
    <row r="230" spans="2:16" ht="18.75" x14ac:dyDescent="0.2">
      <c r="B230" s="6"/>
      <c r="C230" s="6"/>
      <c r="D230" s="2"/>
      <c r="E230" s="2"/>
      <c r="F230" s="2"/>
      <c r="G230" s="2"/>
      <c r="H230" s="2"/>
      <c r="I230" s="2"/>
      <c r="P230" s="17"/>
    </row>
    <row r="231" spans="2:16" ht="18.75" x14ac:dyDescent="0.2">
      <c r="B231" s="6"/>
      <c r="C231" s="6"/>
      <c r="D231" s="2"/>
      <c r="E231" s="2"/>
      <c r="F231" s="2"/>
      <c r="G231" s="2"/>
      <c r="H231" s="2"/>
      <c r="I231" s="2"/>
      <c r="P231" s="17"/>
    </row>
    <row r="232" spans="2:16" ht="18.75" x14ac:dyDescent="0.2">
      <c r="B232" s="6"/>
      <c r="C232" s="6"/>
      <c r="D232" s="2"/>
      <c r="E232" s="2"/>
      <c r="F232" s="2"/>
      <c r="G232" s="2"/>
      <c r="H232" s="2"/>
      <c r="I232" s="2"/>
      <c r="P232" s="17"/>
    </row>
    <row r="233" spans="2:16" ht="18.75" x14ac:dyDescent="0.2">
      <c r="B233" s="6"/>
      <c r="C233" s="6"/>
      <c r="D233" s="2"/>
      <c r="E233" s="2"/>
      <c r="F233" s="2"/>
      <c r="G233" s="2"/>
      <c r="H233" s="2"/>
      <c r="I233" s="2"/>
      <c r="P233" s="17"/>
    </row>
    <row r="234" spans="2:16" ht="18.75" x14ac:dyDescent="0.2">
      <c r="B234" s="6"/>
      <c r="C234" s="6"/>
      <c r="D234" s="2"/>
      <c r="E234" s="2"/>
      <c r="F234" s="2"/>
      <c r="G234" s="2"/>
      <c r="H234" s="2"/>
      <c r="I234" s="2"/>
      <c r="P234" s="17"/>
    </row>
    <row r="235" spans="2:16" ht="18.75" x14ac:dyDescent="0.2">
      <c r="B235" s="6"/>
      <c r="C235" s="6"/>
      <c r="D235" s="2"/>
      <c r="E235" s="2"/>
      <c r="F235" s="2"/>
      <c r="G235" s="2"/>
      <c r="H235" s="2"/>
      <c r="I235" s="2"/>
      <c r="P235" s="17"/>
    </row>
    <row r="236" spans="2:16" ht="18.75" x14ac:dyDescent="0.2">
      <c r="B236" s="6"/>
      <c r="C236" s="6"/>
      <c r="D236" s="2"/>
      <c r="E236" s="2"/>
      <c r="F236" s="2"/>
      <c r="G236" s="2"/>
      <c r="H236" s="2"/>
      <c r="I236" s="2"/>
      <c r="P236" s="17"/>
    </row>
    <row r="237" spans="2:16" ht="18.75" x14ac:dyDescent="0.2">
      <c r="B237" s="6"/>
      <c r="C237" s="6"/>
      <c r="D237" s="2"/>
      <c r="E237" s="2"/>
      <c r="F237" s="2"/>
      <c r="G237" s="2"/>
      <c r="H237" s="2"/>
      <c r="I237" s="2"/>
      <c r="P237" s="17"/>
    </row>
    <row r="238" spans="2:16" ht="18.75" x14ac:dyDescent="0.2">
      <c r="B238" s="6"/>
      <c r="C238" s="6"/>
      <c r="D238" s="2"/>
      <c r="E238" s="2"/>
      <c r="F238" s="2"/>
      <c r="G238" s="2"/>
      <c r="H238" s="2"/>
      <c r="I238" s="2"/>
      <c r="P238" s="17"/>
    </row>
    <row r="239" spans="2:16" ht="18.75" x14ac:dyDescent="0.2">
      <c r="B239" s="6"/>
      <c r="C239" s="6"/>
      <c r="D239" s="2"/>
      <c r="E239" s="2"/>
      <c r="F239" s="2"/>
      <c r="G239" s="2"/>
      <c r="H239" s="2"/>
      <c r="I239" s="2"/>
      <c r="P239" s="17"/>
    </row>
    <row r="240" spans="2:16" ht="18.75" x14ac:dyDescent="0.2">
      <c r="B240" s="6"/>
      <c r="C240" s="6"/>
      <c r="D240" s="2"/>
      <c r="E240" s="2"/>
      <c r="F240" s="2"/>
      <c r="G240" s="2"/>
      <c r="H240" s="2"/>
      <c r="I240" s="2"/>
      <c r="P240" s="17"/>
    </row>
    <row r="241" spans="2:16" ht="18.75" x14ac:dyDescent="0.2">
      <c r="B241" s="6"/>
      <c r="C241" s="6"/>
      <c r="D241" s="2"/>
      <c r="E241" s="2"/>
      <c r="F241" s="2"/>
      <c r="G241" s="2"/>
      <c r="H241" s="2"/>
      <c r="I241" s="2"/>
      <c r="P241" s="17"/>
    </row>
    <row r="242" spans="2:16" ht="18.75" x14ac:dyDescent="0.2">
      <c r="B242" s="6"/>
      <c r="C242" s="6"/>
      <c r="D242" s="2"/>
      <c r="E242" s="2"/>
      <c r="F242" s="2"/>
      <c r="G242" s="2"/>
      <c r="H242" s="2"/>
      <c r="I242" s="2"/>
      <c r="P242" s="17"/>
    </row>
    <row r="243" spans="2:16" ht="18.75" x14ac:dyDescent="0.2">
      <c r="B243" s="6"/>
      <c r="C243" s="6"/>
      <c r="D243" s="2"/>
      <c r="E243" s="2"/>
      <c r="F243" s="2"/>
      <c r="G243" s="2"/>
      <c r="H243" s="2"/>
      <c r="I243" s="2"/>
      <c r="P243" s="17"/>
    </row>
    <row r="244" spans="2:16" ht="18.75" x14ac:dyDescent="0.2">
      <c r="B244" s="6"/>
      <c r="C244" s="6"/>
      <c r="D244" s="2"/>
      <c r="E244" s="2"/>
      <c r="F244" s="2"/>
      <c r="G244" s="2"/>
      <c r="H244" s="2"/>
      <c r="I244" s="2"/>
      <c r="P244" s="17"/>
    </row>
    <row r="245" spans="2:16" ht="18.75" x14ac:dyDescent="0.2">
      <c r="B245" s="6"/>
      <c r="C245" s="6"/>
      <c r="D245" s="2"/>
      <c r="E245" s="2"/>
      <c r="F245" s="2"/>
      <c r="G245" s="2"/>
      <c r="H245" s="2"/>
      <c r="I245" s="2"/>
      <c r="P245" s="17"/>
    </row>
    <row r="246" spans="2:16" ht="18.75" x14ac:dyDescent="0.2">
      <c r="B246" s="6"/>
      <c r="C246" s="6"/>
      <c r="D246" s="2"/>
      <c r="E246" s="2"/>
      <c r="F246" s="2"/>
      <c r="G246" s="2"/>
      <c r="H246" s="2"/>
      <c r="I246" s="2"/>
      <c r="P246" s="17"/>
    </row>
    <row r="247" spans="2:16" ht="18.75" x14ac:dyDescent="0.2">
      <c r="B247" s="6"/>
      <c r="C247" s="6"/>
      <c r="D247" s="2"/>
      <c r="E247" s="2"/>
      <c r="F247" s="2"/>
      <c r="G247" s="2"/>
      <c r="H247" s="2"/>
      <c r="I247" s="2"/>
      <c r="P247" s="17"/>
    </row>
    <row r="248" spans="2:16" ht="18.75" x14ac:dyDescent="0.2">
      <c r="B248" s="6"/>
      <c r="C248" s="6"/>
      <c r="D248" s="2"/>
      <c r="E248" s="2"/>
      <c r="F248" s="2"/>
      <c r="G248" s="2"/>
      <c r="H248" s="2"/>
      <c r="I248" s="2"/>
      <c r="P248" s="17"/>
    </row>
    <row r="249" spans="2:16" ht="18.75" x14ac:dyDescent="0.2">
      <c r="B249" s="6"/>
      <c r="C249" s="6"/>
      <c r="D249" s="2"/>
      <c r="E249" s="2"/>
      <c r="F249" s="2"/>
      <c r="G249" s="2"/>
      <c r="H249" s="2"/>
      <c r="I249" s="2"/>
      <c r="P249" s="17"/>
    </row>
    <row r="250" spans="2:16" ht="18.75" x14ac:dyDescent="0.2">
      <c r="B250" s="6"/>
      <c r="C250" s="6"/>
      <c r="D250" s="2"/>
      <c r="E250" s="2"/>
      <c r="F250" s="2"/>
      <c r="G250" s="2"/>
      <c r="H250" s="2"/>
      <c r="I250" s="2"/>
      <c r="P250" s="17"/>
    </row>
    <row r="251" spans="2:16" ht="18.75" x14ac:dyDescent="0.2">
      <c r="B251" s="6"/>
      <c r="C251" s="6"/>
      <c r="D251" s="2"/>
      <c r="E251" s="2"/>
      <c r="F251" s="2"/>
      <c r="G251" s="2"/>
      <c r="H251" s="2"/>
      <c r="I251" s="2"/>
      <c r="P251" s="17"/>
    </row>
    <row r="252" spans="2:16" ht="18.75" x14ac:dyDescent="0.2">
      <c r="B252" s="6"/>
      <c r="C252" s="6"/>
      <c r="D252" s="2"/>
      <c r="E252" s="2"/>
      <c r="F252" s="2"/>
      <c r="G252" s="2"/>
      <c r="H252" s="2"/>
      <c r="I252" s="2"/>
      <c r="P252" s="17"/>
    </row>
    <row r="253" spans="2:16" ht="18.75" x14ac:dyDescent="0.2">
      <c r="B253" s="6"/>
      <c r="C253" s="6"/>
      <c r="D253" s="2"/>
      <c r="E253" s="2"/>
      <c r="F253" s="2"/>
      <c r="G253" s="2"/>
      <c r="H253" s="2"/>
      <c r="I253" s="2"/>
      <c r="P253" s="17"/>
    </row>
    <row r="254" spans="2:16" ht="18.75" x14ac:dyDescent="0.2">
      <c r="B254" s="6"/>
      <c r="C254" s="6"/>
      <c r="D254" s="2"/>
      <c r="E254" s="2"/>
      <c r="F254" s="2"/>
      <c r="G254" s="2"/>
      <c r="H254" s="2"/>
      <c r="I254" s="2"/>
      <c r="P254" s="17"/>
    </row>
    <row r="255" spans="2:16" ht="18.75" x14ac:dyDescent="0.2">
      <c r="B255" s="6"/>
      <c r="C255" s="6"/>
      <c r="D255" s="2"/>
      <c r="E255" s="2"/>
      <c r="F255" s="2"/>
      <c r="G255" s="2"/>
      <c r="H255" s="2"/>
      <c r="I255" s="2"/>
      <c r="P255" s="17"/>
    </row>
    <row r="256" spans="2:16" ht="18.75" x14ac:dyDescent="0.2">
      <c r="B256" s="6"/>
      <c r="C256" s="6"/>
      <c r="D256" s="2"/>
      <c r="E256" s="2"/>
      <c r="F256" s="2"/>
      <c r="G256" s="2"/>
      <c r="H256" s="2"/>
      <c r="I256" s="2"/>
      <c r="P256" s="17"/>
    </row>
    <row r="257" spans="2:16" ht="18.75" x14ac:dyDescent="0.2">
      <c r="B257" s="6"/>
      <c r="C257" s="6"/>
      <c r="D257" s="2"/>
      <c r="E257" s="2"/>
      <c r="F257" s="2"/>
      <c r="G257" s="2"/>
      <c r="H257" s="2"/>
      <c r="I257" s="2"/>
      <c r="P257" s="17"/>
    </row>
    <row r="258" spans="2:16" ht="18.75" x14ac:dyDescent="0.2">
      <c r="B258" s="6"/>
      <c r="C258" s="6"/>
      <c r="D258" s="2"/>
      <c r="E258" s="2"/>
      <c r="F258" s="2"/>
      <c r="G258" s="2"/>
      <c r="H258" s="2"/>
      <c r="I258" s="2"/>
      <c r="P258" s="17"/>
    </row>
    <row r="259" spans="2:16" ht="18.75" x14ac:dyDescent="0.2">
      <c r="B259" s="6"/>
      <c r="C259" s="6"/>
      <c r="D259" s="2"/>
      <c r="E259" s="2"/>
      <c r="F259" s="2"/>
      <c r="G259" s="2"/>
      <c r="H259" s="2"/>
      <c r="I259" s="2"/>
      <c r="P259" s="17"/>
    </row>
    <row r="260" spans="2:16" ht="18.75" x14ac:dyDescent="0.2">
      <c r="B260" s="6"/>
      <c r="C260" s="6"/>
      <c r="D260" s="2"/>
      <c r="E260" s="2"/>
      <c r="F260" s="2"/>
      <c r="G260" s="2"/>
      <c r="H260" s="2"/>
      <c r="I260" s="2"/>
      <c r="P260" s="17"/>
    </row>
    <row r="261" spans="2:16" ht="18.75" x14ac:dyDescent="0.2">
      <c r="B261" s="6"/>
      <c r="C261" s="6"/>
      <c r="D261" s="2"/>
      <c r="E261" s="2"/>
      <c r="F261" s="2"/>
      <c r="G261" s="2"/>
      <c r="H261" s="2"/>
      <c r="I261" s="2"/>
      <c r="P261" s="17"/>
    </row>
    <row r="262" spans="2:16" ht="18.75" x14ac:dyDescent="0.2">
      <c r="B262" s="6"/>
      <c r="C262" s="6"/>
      <c r="D262" s="2"/>
      <c r="E262" s="2"/>
      <c r="F262" s="2"/>
      <c r="G262" s="2"/>
      <c r="H262" s="2"/>
      <c r="I262" s="2"/>
      <c r="P262" s="17"/>
    </row>
    <row r="263" spans="2:16" ht="18.75" x14ac:dyDescent="0.2">
      <c r="B263" s="6"/>
      <c r="C263" s="6"/>
      <c r="D263" s="2"/>
      <c r="E263" s="2"/>
      <c r="F263" s="2"/>
      <c r="G263" s="2"/>
      <c r="H263" s="2"/>
      <c r="I263" s="2"/>
      <c r="P263" s="17"/>
    </row>
    <row r="264" spans="2:16" ht="18.75" x14ac:dyDescent="0.2">
      <c r="B264" s="6"/>
      <c r="C264" s="6"/>
      <c r="D264" s="2"/>
      <c r="E264" s="2"/>
      <c r="F264" s="2"/>
      <c r="G264" s="2"/>
      <c r="H264" s="2"/>
      <c r="I264" s="2"/>
      <c r="P264" s="17"/>
    </row>
    <row r="265" spans="2:16" ht="18.75" x14ac:dyDescent="0.2">
      <c r="B265" s="6"/>
      <c r="C265" s="6"/>
      <c r="D265" s="2"/>
      <c r="E265" s="2"/>
      <c r="F265" s="2"/>
      <c r="G265" s="2"/>
      <c r="H265" s="2"/>
      <c r="I265" s="2"/>
      <c r="P265" s="17"/>
    </row>
    <row r="266" spans="2:16" ht="18.75" x14ac:dyDescent="0.2">
      <c r="B266" s="6"/>
      <c r="C266" s="6"/>
      <c r="D266" s="2"/>
      <c r="E266" s="2"/>
      <c r="F266" s="2"/>
      <c r="G266" s="2"/>
      <c r="H266" s="2"/>
      <c r="I266" s="2"/>
      <c r="P266" s="17"/>
    </row>
    <row r="267" spans="2:16" ht="18.75" x14ac:dyDescent="0.2">
      <c r="B267" s="6"/>
      <c r="C267" s="6"/>
      <c r="D267" s="2"/>
      <c r="E267" s="2"/>
      <c r="F267" s="2"/>
      <c r="G267" s="2"/>
      <c r="H267" s="2"/>
      <c r="I267" s="2"/>
      <c r="P267" s="17"/>
    </row>
    <row r="268" spans="2:16" ht="18.75" x14ac:dyDescent="0.2">
      <c r="B268" s="6"/>
      <c r="C268" s="6"/>
      <c r="D268" s="2"/>
      <c r="E268" s="2"/>
      <c r="F268" s="2"/>
      <c r="G268" s="2"/>
      <c r="H268" s="2"/>
      <c r="I268" s="2"/>
      <c r="P268" s="17"/>
    </row>
    <row r="269" spans="2:16" ht="18.75" x14ac:dyDescent="0.2">
      <c r="B269" s="6"/>
      <c r="C269" s="6"/>
      <c r="D269" s="2"/>
      <c r="E269" s="2"/>
      <c r="F269" s="2"/>
      <c r="G269" s="2"/>
      <c r="H269" s="2"/>
      <c r="I269" s="2"/>
      <c r="P269" s="17"/>
    </row>
    <row r="270" spans="2:16" ht="18.75" x14ac:dyDescent="0.2">
      <c r="B270" s="6"/>
      <c r="C270" s="6"/>
      <c r="D270" s="2"/>
      <c r="E270" s="2"/>
      <c r="F270" s="2"/>
      <c r="G270" s="2"/>
      <c r="H270" s="2"/>
      <c r="I270" s="2"/>
      <c r="P270" s="17"/>
    </row>
    <row r="271" spans="2:16" ht="18.75" x14ac:dyDescent="0.2">
      <c r="B271" s="6"/>
      <c r="C271" s="6"/>
      <c r="D271" s="2"/>
      <c r="E271" s="2"/>
      <c r="F271" s="2"/>
      <c r="G271" s="2"/>
      <c r="H271" s="2"/>
      <c r="I271" s="2"/>
      <c r="P271" s="17"/>
    </row>
    <row r="272" spans="2:16" ht="18.75" x14ac:dyDescent="0.2">
      <c r="B272" s="6"/>
      <c r="C272" s="6"/>
      <c r="D272" s="2"/>
      <c r="E272" s="2"/>
      <c r="F272" s="2"/>
      <c r="G272" s="2"/>
      <c r="H272" s="2"/>
      <c r="I272" s="2"/>
      <c r="P272" s="17"/>
    </row>
    <row r="273" spans="2:16" ht="18.75" x14ac:dyDescent="0.2">
      <c r="B273" s="6"/>
      <c r="C273" s="6"/>
      <c r="D273" s="2"/>
      <c r="E273" s="2"/>
      <c r="F273" s="2"/>
      <c r="G273" s="2"/>
      <c r="H273" s="2"/>
      <c r="I273" s="2"/>
      <c r="P273" s="17"/>
    </row>
    <row r="274" spans="2:16" ht="18.75" x14ac:dyDescent="0.2">
      <c r="B274" s="6"/>
      <c r="C274" s="6"/>
      <c r="D274" s="2"/>
      <c r="E274" s="2"/>
      <c r="F274" s="2"/>
      <c r="G274" s="2"/>
      <c r="H274" s="2"/>
      <c r="I274" s="2"/>
      <c r="P274" s="17"/>
    </row>
    <row r="275" spans="2:16" ht="18.75" x14ac:dyDescent="0.2">
      <c r="B275" s="6"/>
      <c r="C275" s="6"/>
      <c r="D275" s="2"/>
      <c r="E275" s="2"/>
      <c r="F275" s="2"/>
      <c r="G275" s="2"/>
      <c r="H275" s="2"/>
      <c r="I275" s="2"/>
      <c r="P275" s="17"/>
    </row>
    <row r="276" spans="2:16" ht="18.75" x14ac:dyDescent="0.2">
      <c r="B276" s="6"/>
      <c r="C276" s="6"/>
      <c r="D276" s="2"/>
      <c r="E276" s="2"/>
      <c r="F276" s="2"/>
      <c r="G276" s="2"/>
      <c r="H276" s="2"/>
      <c r="I276" s="2"/>
      <c r="P276" s="17"/>
    </row>
    <row r="277" spans="2:16" ht="18.75" x14ac:dyDescent="0.2">
      <c r="B277" s="6"/>
      <c r="C277" s="6"/>
      <c r="D277" s="2"/>
      <c r="E277" s="2"/>
      <c r="F277" s="2"/>
      <c r="G277" s="2"/>
      <c r="H277" s="2"/>
      <c r="I277" s="2"/>
      <c r="P277" s="17"/>
    </row>
    <row r="278" spans="2:16" ht="18.75" x14ac:dyDescent="0.2">
      <c r="B278" s="6"/>
      <c r="C278" s="6"/>
      <c r="D278" s="2"/>
      <c r="E278" s="2"/>
      <c r="F278" s="2"/>
      <c r="G278" s="2"/>
      <c r="H278" s="2"/>
      <c r="I278" s="2"/>
      <c r="P278" s="17"/>
    </row>
    <row r="279" spans="2:16" ht="18.75" x14ac:dyDescent="0.2">
      <c r="B279" s="6"/>
      <c r="C279" s="6"/>
      <c r="D279" s="2"/>
      <c r="E279" s="2"/>
      <c r="F279" s="2"/>
      <c r="G279" s="2"/>
      <c r="H279" s="2"/>
      <c r="I279" s="2"/>
      <c r="P279" s="17"/>
    </row>
    <row r="280" spans="2:16" ht="18.75" x14ac:dyDescent="0.2">
      <c r="B280" s="6"/>
      <c r="C280" s="6"/>
      <c r="D280" s="2"/>
      <c r="E280" s="2"/>
      <c r="F280" s="2"/>
      <c r="G280" s="2"/>
      <c r="H280" s="2"/>
      <c r="I280" s="2"/>
      <c r="P280" s="17"/>
    </row>
    <row r="281" spans="2:16" ht="18.75" x14ac:dyDescent="0.2">
      <c r="B281" s="6"/>
      <c r="C281" s="6"/>
      <c r="D281" s="2"/>
      <c r="E281" s="2"/>
      <c r="F281" s="2"/>
      <c r="G281" s="2"/>
      <c r="H281" s="2"/>
      <c r="I281" s="2"/>
      <c r="P281" s="17"/>
    </row>
    <row r="282" spans="2:16" ht="18.75" x14ac:dyDescent="0.2">
      <c r="B282" s="6"/>
      <c r="C282" s="6"/>
      <c r="D282" s="2"/>
      <c r="E282" s="2"/>
      <c r="F282" s="2"/>
      <c r="G282" s="2"/>
      <c r="H282" s="2"/>
      <c r="I282" s="2"/>
      <c r="P282" s="17"/>
    </row>
    <row r="283" spans="2:16" ht="18.75" x14ac:dyDescent="0.2">
      <c r="B283" s="6"/>
      <c r="C283" s="6"/>
      <c r="D283" s="2"/>
      <c r="E283" s="2"/>
      <c r="F283" s="2"/>
      <c r="G283" s="2"/>
      <c r="H283" s="2"/>
      <c r="I283" s="2"/>
      <c r="P283" s="17"/>
    </row>
    <row r="284" spans="2:16" ht="18.75" x14ac:dyDescent="0.2">
      <c r="B284" s="6"/>
      <c r="C284" s="6"/>
      <c r="D284" s="2"/>
      <c r="E284" s="2"/>
      <c r="F284" s="2"/>
      <c r="G284" s="2"/>
      <c r="H284" s="2"/>
      <c r="I284" s="2"/>
      <c r="P284" s="17"/>
    </row>
    <row r="285" spans="2:16" ht="18.75" x14ac:dyDescent="0.2">
      <c r="B285" s="6"/>
      <c r="C285" s="6"/>
      <c r="D285" s="2"/>
      <c r="E285" s="2"/>
      <c r="F285" s="2"/>
      <c r="G285" s="2"/>
      <c r="H285" s="2"/>
      <c r="I285" s="2"/>
      <c r="P285" s="17"/>
    </row>
    <row r="286" spans="2:16" ht="18.75" x14ac:dyDescent="0.2">
      <c r="B286" s="6"/>
      <c r="C286" s="6"/>
      <c r="D286" s="2"/>
      <c r="E286" s="2"/>
      <c r="F286" s="2"/>
      <c r="G286" s="2"/>
      <c r="H286" s="2"/>
      <c r="I286" s="2"/>
      <c r="P286" s="17"/>
    </row>
    <row r="287" spans="2:16" ht="18.75" x14ac:dyDescent="0.2">
      <c r="B287" s="6"/>
      <c r="C287" s="6"/>
      <c r="D287" s="2"/>
      <c r="E287" s="2"/>
      <c r="F287" s="2"/>
      <c r="G287" s="2"/>
      <c r="H287" s="2"/>
      <c r="I287" s="2"/>
      <c r="P287" s="17"/>
    </row>
    <row r="288" spans="2:16" ht="18.75" x14ac:dyDescent="0.2">
      <c r="B288" s="6"/>
      <c r="C288" s="6"/>
      <c r="D288" s="2"/>
      <c r="E288" s="2"/>
      <c r="F288" s="2"/>
      <c r="G288" s="2"/>
      <c r="H288" s="2"/>
      <c r="I288" s="2"/>
      <c r="P288" s="17"/>
    </row>
    <row r="289" spans="2:16" ht="18.75" x14ac:dyDescent="0.2">
      <c r="B289" s="6"/>
      <c r="C289" s="6"/>
      <c r="D289" s="2"/>
      <c r="E289" s="2"/>
      <c r="F289" s="2"/>
      <c r="G289" s="2"/>
      <c r="H289" s="2"/>
      <c r="I289" s="2"/>
      <c r="P289" s="17"/>
    </row>
    <row r="290" spans="2:16" ht="18.75" x14ac:dyDescent="0.2">
      <c r="B290" s="6"/>
      <c r="C290" s="6"/>
      <c r="D290" s="2"/>
      <c r="E290" s="2"/>
      <c r="F290" s="2"/>
      <c r="G290" s="2"/>
      <c r="H290" s="2"/>
      <c r="I290" s="2"/>
      <c r="P290" s="17"/>
    </row>
    <row r="291" spans="2:16" ht="18.75" x14ac:dyDescent="0.2">
      <c r="B291" s="6"/>
      <c r="C291" s="6"/>
      <c r="D291" s="2"/>
      <c r="E291" s="2"/>
      <c r="F291" s="2"/>
      <c r="G291" s="2"/>
      <c r="H291" s="2"/>
      <c r="I291" s="2"/>
      <c r="P291" s="17"/>
    </row>
    <row r="292" spans="2:16" ht="18.75" x14ac:dyDescent="0.2">
      <c r="B292" s="6"/>
      <c r="C292" s="6"/>
      <c r="D292" s="2"/>
      <c r="E292" s="2"/>
      <c r="F292" s="2"/>
      <c r="G292" s="2"/>
      <c r="H292" s="2"/>
      <c r="I292" s="2"/>
      <c r="P292" s="17"/>
    </row>
    <row r="293" spans="2:16" ht="18.75" x14ac:dyDescent="0.2">
      <c r="B293" s="6"/>
      <c r="C293" s="6"/>
      <c r="D293" s="2"/>
      <c r="E293" s="2"/>
      <c r="F293" s="2"/>
      <c r="G293" s="2"/>
      <c r="H293" s="2"/>
      <c r="I293" s="2"/>
      <c r="P293" s="17"/>
    </row>
    <row r="294" spans="2:16" ht="18.75" x14ac:dyDescent="0.2">
      <c r="B294" s="6"/>
      <c r="C294" s="6"/>
      <c r="D294" s="2"/>
      <c r="E294" s="2"/>
      <c r="F294" s="2"/>
      <c r="G294" s="2"/>
      <c r="H294" s="2"/>
      <c r="I294" s="2"/>
      <c r="P294" s="17"/>
    </row>
    <row r="295" spans="2:16" ht="18.75" x14ac:dyDescent="0.2">
      <c r="B295" s="6"/>
      <c r="C295" s="6"/>
      <c r="D295" s="2"/>
      <c r="E295" s="2"/>
      <c r="F295" s="2"/>
      <c r="G295" s="2"/>
      <c r="H295" s="2"/>
      <c r="I295" s="2"/>
      <c r="P295" s="17"/>
    </row>
    <row r="296" spans="2:16" ht="18.75" x14ac:dyDescent="0.2">
      <c r="B296" s="6"/>
      <c r="C296" s="6"/>
      <c r="D296" s="2"/>
      <c r="E296" s="2"/>
      <c r="F296" s="2"/>
      <c r="G296" s="2"/>
      <c r="H296" s="2"/>
      <c r="I296" s="2"/>
      <c r="P296" s="17"/>
    </row>
    <row r="297" spans="2:16" ht="18.75" x14ac:dyDescent="0.2">
      <c r="B297" s="6"/>
      <c r="C297" s="6"/>
      <c r="D297" s="2"/>
      <c r="E297" s="2"/>
      <c r="F297" s="2"/>
      <c r="G297" s="2"/>
      <c r="H297" s="2"/>
      <c r="I297" s="2"/>
      <c r="P297" s="17"/>
    </row>
    <row r="298" spans="2:16" ht="18.75" x14ac:dyDescent="0.2">
      <c r="B298" s="6"/>
      <c r="C298" s="6"/>
      <c r="D298" s="2"/>
      <c r="E298" s="2"/>
      <c r="F298" s="2"/>
      <c r="G298" s="2"/>
      <c r="H298" s="2"/>
      <c r="I298" s="2"/>
      <c r="P298" s="17"/>
    </row>
    <row r="299" spans="2:16" ht="18.75" x14ac:dyDescent="0.2">
      <c r="B299" s="6"/>
      <c r="C299" s="6"/>
      <c r="D299" s="2"/>
      <c r="E299" s="2"/>
      <c r="F299" s="2"/>
      <c r="G299" s="2"/>
      <c r="H299" s="2"/>
      <c r="I299" s="2"/>
      <c r="P299" s="17"/>
    </row>
    <row r="300" spans="2:16" ht="18.75" x14ac:dyDescent="0.2">
      <c r="B300" s="6"/>
      <c r="C300" s="6"/>
      <c r="D300" s="2"/>
      <c r="E300" s="2"/>
      <c r="F300" s="2"/>
      <c r="G300" s="2"/>
      <c r="H300" s="2"/>
      <c r="I300" s="2"/>
      <c r="P300" s="17"/>
    </row>
    <row r="301" spans="2:16" ht="18.75" x14ac:dyDescent="0.2">
      <c r="B301" s="6"/>
      <c r="C301" s="6"/>
      <c r="D301" s="2"/>
      <c r="E301" s="2"/>
      <c r="F301" s="2"/>
      <c r="G301" s="2"/>
      <c r="H301" s="2"/>
      <c r="I301" s="2"/>
      <c r="P301" s="17"/>
    </row>
    <row r="302" spans="2:16" ht="18.75" x14ac:dyDescent="0.2">
      <c r="B302" s="6"/>
      <c r="C302" s="6"/>
      <c r="D302" s="2"/>
      <c r="E302" s="2"/>
      <c r="F302" s="2"/>
      <c r="G302" s="2"/>
      <c r="H302" s="2"/>
      <c r="I302" s="2"/>
      <c r="P302" s="17"/>
    </row>
    <row r="303" spans="2:16" ht="18.75" x14ac:dyDescent="0.2">
      <c r="B303" s="6"/>
      <c r="C303" s="6"/>
      <c r="D303" s="2"/>
      <c r="E303" s="2"/>
      <c r="F303" s="2"/>
      <c r="G303" s="2"/>
      <c r="H303" s="2"/>
      <c r="I303" s="2"/>
      <c r="P303" s="17"/>
    </row>
    <row r="304" spans="2:16" ht="18.75" x14ac:dyDescent="0.2">
      <c r="B304" s="6"/>
      <c r="C304" s="6"/>
      <c r="D304" s="2"/>
      <c r="E304" s="2"/>
      <c r="F304" s="2"/>
      <c r="G304" s="2"/>
      <c r="H304" s="2"/>
      <c r="I304" s="2"/>
      <c r="P304" s="17"/>
    </row>
    <row r="305" spans="2:16" ht="18.75" x14ac:dyDescent="0.2">
      <c r="B305" s="6"/>
      <c r="C305" s="6"/>
      <c r="D305" s="2"/>
      <c r="E305" s="2"/>
      <c r="F305" s="2"/>
      <c r="G305" s="2"/>
      <c r="H305" s="2"/>
      <c r="I305" s="2"/>
      <c r="P305" s="17"/>
    </row>
    <row r="306" spans="2:16" ht="18.75" x14ac:dyDescent="0.2">
      <c r="B306" s="6"/>
      <c r="C306" s="6"/>
      <c r="D306" s="2"/>
      <c r="E306" s="2"/>
      <c r="F306" s="2"/>
      <c r="G306" s="2"/>
      <c r="H306" s="2"/>
      <c r="I306" s="2"/>
      <c r="P306" s="17"/>
    </row>
    <row r="307" spans="2:16" ht="18.75" x14ac:dyDescent="0.2">
      <c r="B307" s="6"/>
      <c r="C307" s="6"/>
      <c r="D307" s="2"/>
      <c r="E307" s="2"/>
      <c r="F307" s="2"/>
      <c r="G307" s="2"/>
      <c r="H307" s="2"/>
      <c r="I307" s="2"/>
      <c r="P307" s="17"/>
    </row>
    <row r="308" spans="2:16" ht="18.75" x14ac:dyDescent="0.2">
      <c r="B308" s="6"/>
      <c r="C308" s="6"/>
      <c r="D308" s="2"/>
      <c r="E308" s="2"/>
      <c r="F308" s="2"/>
      <c r="G308" s="2"/>
      <c r="H308" s="2"/>
      <c r="I308" s="2"/>
      <c r="P308" s="17"/>
    </row>
    <row r="309" spans="2:16" ht="18.75" x14ac:dyDescent="0.2">
      <c r="B309" s="6"/>
      <c r="C309" s="6"/>
      <c r="D309" s="2"/>
      <c r="E309" s="2"/>
      <c r="F309" s="2"/>
      <c r="G309" s="2"/>
      <c r="H309" s="2"/>
      <c r="I309" s="2"/>
      <c r="P309" s="17"/>
    </row>
    <row r="310" spans="2:16" ht="18.75" x14ac:dyDescent="0.2">
      <c r="B310" s="6"/>
      <c r="C310" s="6"/>
      <c r="D310" s="2"/>
      <c r="E310" s="2"/>
      <c r="F310" s="2"/>
      <c r="G310" s="2"/>
      <c r="H310" s="2"/>
      <c r="I310" s="2"/>
      <c r="P310" s="17"/>
    </row>
    <row r="311" spans="2:16" ht="18.75" x14ac:dyDescent="0.2">
      <c r="B311" s="6"/>
      <c r="C311" s="6"/>
      <c r="D311" s="2"/>
      <c r="E311" s="2"/>
      <c r="F311" s="2"/>
      <c r="G311" s="2"/>
      <c r="H311" s="2"/>
      <c r="I311" s="2"/>
      <c r="P311" s="17"/>
    </row>
    <row r="312" spans="2:16" ht="18.75" x14ac:dyDescent="0.2">
      <c r="B312" s="6"/>
      <c r="C312" s="6"/>
      <c r="D312" s="2"/>
      <c r="E312" s="2"/>
      <c r="F312" s="2"/>
      <c r="G312" s="2"/>
      <c r="H312" s="2"/>
      <c r="I312" s="2"/>
      <c r="P312" s="17"/>
    </row>
    <row r="313" spans="2:16" ht="18.75" x14ac:dyDescent="0.2">
      <c r="B313" s="6"/>
      <c r="C313" s="6"/>
      <c r="D313" s="2"/>
      <c r="E313" s="2"/>
      <c r="F313" s="2"/>
      <c r="G313" s="2"/>
      <c r="H313" s="2"/>
      <c r="I313" s="2"/>
      <c r="P313" s="17"/>
    </row>
    <row r="314" spans="2:16" ht="18.75" x14ac:dyDescent="0.2">
      <c r="B314" s="6"/>
      <c r="C314" s="6"/>
      <c r="D314" s="2"/>
      <c r="E314" s="2"/>
      <c r="F314" s="2"/>
      <c r="G314" s="2"/>
      <c r="H314" s="2"/>
      <c r="I314" s="2"/>
      <c r="P314" s="17"/>
    </row>
    <row r="315" spans="2:16" ht="18.75" x14ac:dyDescent="0.2">
      <c r="B315" s="6"/>
      <c r="C315" s="6"/>
      <c r="D315" s="2"/>
      <c r="E315" s="2"/>
      <c r="F315" s="2"/>
      <c r="G315" s="2"/>
      <c r="H315" s="2"/>
      <c r="I315" s="2"/>
      <c r="P315" s="17"/>
    </row>
    <row r="316" spans="2:16" ht="18.75" x14ac:dyDescent="0.2">
      <c r="B316" s="6"/>
      <c r="C316" s="6"/>
      <c r="D316" s="2"/>
      <c r="E316" s="2"/>
      <c r="F316" s="2"/>
      <c r="G316" s="2"/>
      <c r="H316" s="2"/>
      <c r="I316" s="2"/>
      <c r="P316" s="17"/>
    </row>
    <row r="317" spans="2:16" ht="18.75" x14ac:dyDescent="0.2">
      <c r="B317" s="6"/>
      <c r="C317" s="6"/>
      <c r="D317" s="2"/>
      <c r="E317" s="2"/>
      <c r="F317" s="2"/>
      <c r="G317" s="2"/>
      <c r="H317" s="2"/>
      <c r="I317" s="2"/>
      <c r="P317" s="17"/>
    </row>
    <row r="318" spans="2:16" ht="18.75" x14ac:dyDescent="0.2">
      <c r="B318" s="6"/>
      <c r="C318" s="6"/>
      <c r="D318" s="2"/>
      <c r="E318" s="2"/>
      <c r="F318" s="2"/>
      <c r="G318" s="2"/>
      <c r="H318" s="2"/>
      <c r="I318" s="2"/>
      <c r="P318" s="17"/>
    </row>
    <row r="319" spans="2:16" ht="18.75" x14ac:dyDescent="0.2">
      <c r="B319" s="6"/>
      <c r="C319" s="6"/>
      <c r="D319" s="2"/>
      <c r="E319" s="2"/>
      <c r="F319" s="2"/>
      <c r="G319" s="2"/>
      <c r="H319" s="2"/>
      <c r="I319" s="2"/>
      <c r="P319" s="17"/>
    </row>
    <row r="320" spans="2:16" ht="18.75" x14ac:dyDescent="0.2">
      <c r="B320" s="6"/>
      <c r="C320" s="6"/>
      <c r="D320" s="2"/>
      <c r="E320" s="2"/>
      <c r="F320" s="2"/>
      <c r="G320" s="2"/>
      <c r="H320" s="2"/>
      <c r="I320" s="2"/>
      <c r="P320" s="17"/>
    </row>
    <row r="321" spans="2:16" ht="18.75" x14ac:dyDescent="0.2">
      <c r="B321" s="6"/>
      <c r="C321" s="6"/>
      <c r="D321" s="2"/>
      <c r="E321" s="2"/>
      <c r="F321" s="2"/>
      <c r="G321" s="2"/>
      <c r="H321" s="2"/>
      <c r="I321" s="2"/>
      <c r="P321" s="17"/>
    </row>
    <row r="322" spans="2:16" ht="18.75" x14ac:dyDescent="0.2">
      <c r="B322" s="6"/>
      <c r="C322" s="6"/>
      <c r="D322" s="2"/>
      <c r="E322" s="2"/>
      <c r="F322" s="2"/>
      <c r="G322" s="2"/>
      <c r="H322" s="2"/>
      <c r="I322" s="2"/>
      <c r="P322" s="17"/>
    </row>
    <row r="323" spans="2:16" ht="18.75" x14ac:dyDescent="0.2">
      <c r="B323" s="6"/>
      <c r="C323" s="6"/>
      <c r="D323" s="2"/>
      <c r="E323" s="2"/>
      <c r="F323" s="2"/>
      <c r="G323" s="2"/>
      <c r="H323" s="2"/>
      <c r="I323" s="2"/>
      <c r="P323" s="17"/>
    </row>
    <row r="324" spans="2:16" ht="18.75" x14ac:dyDescent="0.2">
      <c r="B324" s="6"/>
      <c r="C324" s="6"/>
      <c r="D324" s="2"/>
      <c r="E324" s="2"/>
      <c r="F324" s="2"/>
      <c r="G324" s="2"/>
      <c r="H324" s="2"/>
      <c r="I324" s="2"/>
      <c r="P324" s="17"/>
    </row>
    <row r="325" spans="2:16" ht="18.75" x14ac:dyDescent="0.2">
      <c r="B325" s="6"/>
      <c r="C325" s="6"/>
      <c r="D325" s="2"/>
      <c r="E325" s="2"/>
      <c r="F325" s="2"/>
      <c r="G325" s="2"/>
      <c r="H325" s="2"/>
      <c r="I325" s="2"/>
      <c r="P325" s="17"/>
    </row>
    <row r="326" spans="2:16" ht="18.75" x14ac:dyDescent="0.2">
      <c r="B326" s="6"/>
      <c r="C326" s="6"/>
      <c r="D326" s="2"/>
      <c r="E326" s="2"/>
      <c r="F326" s="2"/>
      <c r="G326" s="2"/>
      <c r="H326" s="2"/>
      <c r="I326" s="2"/>
      <c r="P326" s="17"/>
    </row>
    <row r="327" spans="2:16" x14ac:dyDescent="0.2">
      <c r="B327" s="6"/>
      <c r="C327" s="6"/>
      <c r="D327" s="2"/>
      <c r="E327" s="2"/>
      <c r="F327" s="2"/>
      <c r="G327" s="2"/>
      <c r="H327" s="2"/>
      <c r="I327" s="2"/>
    </row>
    <row r="328" spans="2:16" x14ac:dyDescent="0.2">
      <c r="B328" s="6"/>
      <c r="C328" s="6"/>
      <c r="D328" s="2"/>
      <c r="E328" s="2"/>
      <c r="F328" s="2"/>
      <c r="G328" s="2"/>
      <c r="H328" s="2"/>
      <c r="I328" s="2"/>
    </row>
    <row r="329" spans="2:16" x14ac:dyDescent="0.2">
      <c r="B329" s="6"/>
      <c r="C329" s="6"/>
      <c r="D329" s="2"/>
      <c r="E329" s="2"/>
      <c r="F329" s="2"/>
      <c r="G329" s="2"/>
      <c r="H329" s="2"/>
      <c r="I329" s="2"/>
    </row>
    <row r="330" spans="2:16" x14ac:dyDescent="0.2">
      <c r="B330" s="6"/>
      <c r="C330" s="6"/>
      <c r="D330" s="2"/>
      <c r="E330" s="2"/>
      <c r="F330" s="2"/>
      <c r="G330" s="2"/>
      <c r="H330" s="2"/>
      <c r="I330" s="2"/>
    </row>
    <row r="331" spans="2:16" x14ac:dyDescent="0.2">
      <c r="B331" s="6"/>
      <c r="C331" s="6"/>
      <c r="D331" s="2"/>
      <c r="E331" s="2"/>
      <c r="F331" s="2"/>
      <c r="G331" s="2"/>
      <c r="H331" s="2"/>
      <c r="I331" s="2"/>
    </row>
    <row r="332" spans="2:16" x14ac:dyDescent="0.2">
      <c r="B332" s="6"/>
      <c r="C332" s="6"/>
      <c r="D332" s="2"/>
      <c r="E332" s="2"/>
      <c r="F332" s="2"/>
      <c r="G332" s="2"/>
      <c r="H332" s="2"/>
      <c r="I332" s="2"/>
    </row>
    <row r="333" spans="2:16" x14ac:dyDescent="0.2">
      <c r="B333" s="6"/>
      <c r="C333" s="6"/>
      <c r="D333" s="2"/>
      <c r="E333" s="2"/>
      <c r="F333" s="2"/>
      <c r="G333" s="2"/>
      <c r="H333" s="2"/>
      <c r="I333" s="2"/>
    </row>
    <row r="334" spans="2:16" x14ac:dyDescent="0.2">
      <c r="B334" s="6"/>
      <c r="C334" s="6"/>
      <c r="D334" s="2"/>
      <c r="E334" s="2"/>
      <c r="F334" s="2"/>
      <c r="G334" s="2"/>
      <c r="H334" s="2"/>
      <c r="I334" s="2"/>
    </row>
    <row r="335" spans="2:16" x14ac:dyDescent="0.2">
      <c r="B335" s="6"/>
      <c r="C335" s="6"/>
      <c r="D335" s="2"/>
      <c r="E335" s="2"/>
      <c r="F335" s="2"/>
      <c r="G335" s="2"/>
      <c r="H335" s="2"/>
      <c r="I335" s="2"/>
    </row>
    <row r="336" spans="2:16" x14ac:dyDescent="0.2">
      <c r="B336" s="6"/>
      <c r="C336" s="6"/>
      <c r="D336" s="2"/>
      <c r="E336" s="2"/>
      <c r="F336" s="2"/>
      <c r="G336" s="2"/>
      <c r="H336" s="2"/>
      <c r="I336" s="2"/>
    </row>
    <row r="337" spans="2:9" x14ac:dyDescent="0.2">
      <c r="B337" s="6"/>
      <c r="C337" s="6"/>
      <c r="D337" s="2"/>
      <c r="E337" s="2"/>
      <c r="F337" s="2"/>
      <c r="G337" s="2"/>
      <c r="H337" s="2"/>
      <c r="I337" s="2"/>
    </row>
    <row r="338" spans="2:9" x14ac:dyDescent="0.2">
      <c r="B338" s="6"/>
      <c r="C338" s="6"/>
      <c r="D338" s="2"/>
      <c r="E338" s="2"/>
      <c r="F338" s="2"/>
      <c r="G338" s="2"/>
      <c r="H338" s="2"/>
      <c r="I338" s="2"/>
    </row>
    <row r="339" spans="2:9" x14ac:dyDescent="0.2">
      <c r="B339" s="6"/>
      <c r="C339" s="6"/>
      <c r="D339" s="2"/>
      <c r="E339" s="2"/>
      <c r="F339" s="2"/>
      <c r="G339" s="2"/>
      <c r="H339" s="2"/>
      <c r="I339" s="2"/>
    </row>
    <row r="340" spans="2:9" x14ac:dyDescent="0.2">
      <c r="B340" s="6"/>
      <c r="C340" s="6"/>
      <c r="D340" s="2"/>
      <c r="E340" s="2"/>
      <c r="F340" s="2"/>
      <c r="G340" s="2"/>
      <c r="H340" s="2"/>
      <c r="I340" s="2"/>
    </row>
    <row r="341" spans="2:9" x14ac:dyDescent="0.2">
      <c r="B341" s="6"/>
      <c r="C341" s="6"/>
      <c r="D341" s="2"/>
      <c r="E341" s="2"/>
      <c r="F341" s="2"/>
      <c r="G341" s="2"/>
      <c r="H341" s="2"/>
      <c r="I341" s="2"/>
    </row>
    <row r="342" spans="2:9" x14ac:dyDescent="0.2">
      <c r="B342" s="6"/>
      <c r="C342" s="6"/>
      <c r="D342" s="2"/>
      <c r="E342" s="2"/>
      <c r="F342" s="2"/>
      <c r="G342" s="2"/>
      <c r="H342" s="2"/>
      <c r="I342" s="2"/>
    </row>
    <row r="343" spans="2:9" x14ac:dyDescent="0.2">
      <c r="B343" s="6"/>
      <c r="C343" s="6"/>
      <c r="D343" s="2"/>
      <c r="E343" s="2"/>
      <c r="F343" s="2"/>
      <c r="G343" s="2"/>
      <c r="H343" s="2"/>
      <c r="I343" s="2"/>
    </row>
    <row r="344" spans="2:9" x14ac:dyDescent="0.2">
      <c r="B344" s="6"/>
      <c r="C344" s="6"/>
      <c r="D344" s="2"/>
      <c r="E344" s="2"/>
      <c r="F344" s="2"/>
      <c r="G344" s="2"/>
      <c r="H344" s="2"/>
      <c r="I344" s="2"/>
    </row>
    <row r="345" spans="2:9" x14ac:dyDescent="0.2">
      <c r="B345" s="6"/>
      <c r="C345" s="6"/>
      <c r="D345" s="2"/>
      <c r="E345" s="2"/>
      <c r="F345" s="2"/>
      <c r="G345" s="2"/>
      <c r="H345" s="2"/>
      <c r="I345" s="2"/>
    </row>
    <row r="346" spans="2:9" x14ac:dyDescent="0.2">
      <c r="B346" s="6"/>
      <c r="C346" s="6"/>
      <c r="D346" s="2"/>
      <c r="E346" s="2"/>
      <c r="F346" s="2"/>
      <c r="G346" s="2"/>
      <c r="H346" s="2"/>
      <c r="I346" s="2"/>
    </row>
    <row r="347" spans="2:9" x14ac:dyDescent="0.2">
      <c r="B347" s="6"/>
      <c r="C347" s="6"/>
      <c r="D347" s="2"/>
      <c r="E347" s="2"/>
      <c r="F347" s="2"/>
      <c r="G347" s="2"/>
      <c r="H347" s="2"/>
      <c r="I347" s="2"/>
    </row>
    <row r="348" spans="2:9" x14ac:dyDescent="0.2">
      <c r="B348" s="6"/>
      <c r="C348" s="6"/>
      <c r="D348" s="2"/>
      <c r="E348" s="2"/>
      <c r="F348" s="2"/>
      <c r="G348" s="2"/>
      <c r="H348" s="2"/>
      <c r="I348" s="2"/>
    </row>
    <row r="349" spans="2:9" x14ac:dyDescent="0.2">
      <c r="B349" s="6"/>
      <c r="C349" s="6"/>
      <c r="D349" s="2"/>
      <c r="E349" s="2"/>
      <c r="F349" s="2"/>
      <c r="G349" s="2"/>
      <c r="H349" s="2"/>
      <c r="I349" s="2"/>
    </row>
    <row r="350" spans="2:9" x14ac:dyDescent="0.2">
      <c r="B350" s="6"/>
      <c r="C350" s="6"/>
      <c r="D350" s="2"/>
      <c r="E350" s="2"/>
      <c r="F350" s="2"/>
      <c r="G350" s="2"/>
      <c r="H350" s="2"/>
      <c r="I350" s="2"/>
    </row>
    <row r="351" spans="2:9" x14ac:dyDescent="0.2">
      <c r="B351" s="6"/>
      <c r="C351" s="6"/>
      <c r="D351" s="2"/>
      <c r="E351" s="2"/>
      <c r="F351" s="2"/>
      <c r="G351" s="2"/>
      <c r="H351" s="2"/>
      <c r="I351" s="2"/>
    </row>
    <row r="352" spans="2:9" x14ac:dyDescent="0.2">
      <c r="B352" s="6"/>
      <c r="C352" s="6"/>
      <c r="D352" s="2"/>
      <c r="E352" s="2"/>
      <c r="F352" s="2"/>
      <c r="G352" s="2"/>
      <c r="H352" s="2"/>
      <c r="I352" s="2"/>
    </row>
    <row r="353" spans="2:9" x14ac:dyDescent="0.2">
      <c r="B353" s="6"/>
      <c r="C353" s="6"/>
      <c r="D353" s="2"/>
      <c r="E353" s="2"/>
      <c r="F353" s="2"/>
      <c r="G353" s="2"/>
      <c r="H353" s="2"/>
      <c r="I353" s="2"/>
    </row>
    <row r="354" spans="2:9" x14ac:dyDescent="0.2">
      <c r="B354" s="6"/>
      <c r="C354" s="6"/>
      <c r="D354" s="2"/>
      <c r="E354" s="2"/>
      <c r="F354" s="2"/>
      <c r="G354" s="2"/>
      <c r="H354" s="2"/>
      <c r="I354" s="2"/>
    </row>
    <row r="355" spans="2:9" x14ac:dyDescent="0.2">
      <c r="B355" s="6"/>
      <c r="C355" s="6"/>
      <c r="D355" s="2"/>
      <c r="E355" s="2"/>
      <c r="F355" s="2"/>
      <c r="G355" s="2"/>
      <c r="H355" s="2"/>
      <c r="I355" s="2"/>
    </row>
    <row r="356" spans="2:9" x14ac:dyDescent="0.2">
      <c r="B356" s="6"/>
      <c r="C356" s="6"/>
      <c r="D356" s="2"/>
      <c r="E356" s="2"/>
      <c r="F356" s="2"/>
      <c r="G356" s="2"/>
      <c r="H356" s="2"/>
      <c r="I356" s="2"/>
    </row>
    <row r="357" spans="2:9" x14ac:dyDescent="0.2">
      <c r="B357" s="6"/>
      <c r="C357" s="6"/>
      <c r="D357" s="2"/>
      <c r="E357" s="2"/>
      <c r="F357" s="2"/>
      <c r="G357" s="2"/>
      <c r="H357" s="2"/>
      <c r="I357" s="2"/>
    </row>
    <row r="358" spans="2:9" x14ac:dyDescent="0.2">
      <c r="B358" s="6"/>
      <c r="C358" s="6"/>
      <c r="D358" s="2"/>
      <c r="E358" s="2"/>
      <c r="F358" s="2"/>
      <c r="G358" s="2"/>
      <c r="H358" s="2"/>
      <c r="I358" s="2"/>
    </row>
    <row r="359" spans="2:9" x14ac:dyDescent="0.2">
      <c r="B359" s="6"/>
      <c r="C359" s="6"/>
      <c r="D359" s="2"/>
      <c r="E359" s="2"/>
      <c r="F359" s="2"/>
      <c r="G359" s="2"/>
      <c r="H359" s="2"/>
      <c r="I359" s="2"/>
    </row>
    <row r="360" spans="2:9" x14ac:dyDescent="0.2">
      <c r="B360" s="6"/>
      <c r="C360" s="6"/>
      <c r="D360" s="2"/>
      <c r="E360" s="2"/>
      <c r="F360" s="2"/>
      <c r="G360" s="2"/>
      <c r="H360" s="2"/>
      <c r="I360" s="2"/>
    </row>
    <row r="361" spans="2:9" x14ac:dyDescent="0.2">
      <c r="B361" s="6"/>
      <c r="C361" s="6"/>
      <c r="D361" s="2"/>
      <c r="E361" s="2"/>
      <c r="F361" s="2"/>
      <c r="G361" s="2"/>
      <c r="H361" s="2"/>
      <c r="I361" s="2"/>
    </row>
    <row r="362" spans="2:9" x14ac:dyDescent="0.2">
      <c r="B362" s="6"/>
      <c r="C362" s="6"/>
      <c r="D362" s="2"/>
      <c r="E362" s="2"/>
      <c r="F362" s="2"/>
      <c r="G362" s="2"/>
      <c r="H362" s="2"/>
      <c r="I362" s="2"/>
    </row>
    <row r="363" spans="2:9" x14ac:dyDescent="0.2">
      <c r="B363" s="6"/>
      <c r="C363" s="6"/>
      <c r="D363" s="2"/>
      <c r="E363" s="2"/>
      <c r="F363" s="2"/>
      <c r="G363" s="2"/>
      <c r="H363" s="2"/>
      <c r="I363" s="2"/>
    </row>
    <row r="364" spans="2:9" x14ac:dyDescent="0.2">
      <c r="B364" s="6"/>
      <c r="C364" s="6"/>
      <c r="D364" s="2"/>
      <c r="E364" s="2"/>
      <c r="F364" s="2"/>
      <c r="G364" s="2"/>
      <c r="H364" s="2"/>
      <c r="I364" s="2"/>
    </row>
    <row r="365" spans="2:9" x14ac:dyDescent="0.2">
      <c r="B365" s="6"/>
      <c r="C365" s="6"/>
      <c r="D365" s="2"/>
      <c r="E365" s="2"/>
      <c r="F365" s="2"/>
      <c r="G365" s="2"/>
      <c r="H365" s="2"/>
      <c r="I365" s="2"/>
    </row>
    <row r="366" spans="2:9" x14ac:dyDescent="0.2">
      <c r="B366" s="6"/>
      <c r="C366" s="6"/>
      <c r="D366" s="2"/>
      <c r="E366" s="2"/>
      <c r="F366" s="2"/>
      <c r="G366" s="2"/>
      <c r="H366" s="2"/>
      <c r="I366" s="2"/>
    </row>
    <row r="367" spans="2:9" x14ac:dyDescent="0.2">
      <c r="B367" s="6"/>
      <c r="C367" s="6"/>
      <c r="D367" s="2"/>
      <c r="E367" s="2"/>
      <c r="F367" s="2"/>
      <c r="G367" s="2"/>
      <c r="H367" s="2"/>
      <c r="I367" s="2"/>
    </row>
    <row r="368" spans="2:9" x14ac:dyDescent="0.2">
      <c r="B368" s="6"/>
      <c r="C368" s="6"/>
      <c r="D368" s="2"/>
      <c r="E368" s="2"/>
      <c r="F368" s="2"/>
      <c r="G368" s="2"/>
      <c r="H368" s="2"/>
      <c r="I368" s="2"/>
    </row>
    <row r="369" spans="2:9" x14ac:dyDescent="0.2">
      <c r="B369" s="6"/>
      <c r="C369" s="6"/>
      <c r="D369" s="2"/>
      <c r="E369" s="2"/>
      <c r="F369" s="2"/>
      <c r="G369" s="2"/>
      <c r="H369" s="2"/>
      <c r="I369" s="2"/>
    </row>
    <row r="370" spans="2:9" x14ac:dyDescent="0.2">
      <c r="B370" s="6"/>
      <c r="C370" s="6"/>
      <c r="D370" s="2"/>
      <c r="E370" s="2"/>
      <c r="F370" s="2"/>
      <c r="G370" s="2"/>
      <c r="H370" s="2"/>
      <c r="I370" s="2"/>
    </row>
    <row r="371" spans="2:9" x14ac:dyDescent="0.2">
      <c r="B371" s="6"/>
      <c r="C371" s="6"/>
      <c r="D371" s="2"/>
      <c r="E371" s="2"/>
      <c r="F371" s="2"/>
      <c r="G371" s="2"/>
      <c r="H371" s="2"/>
      <c r="I371" s="2"/>
    </row>
    <row r="372" spans="2:9" x14ac:dyDescent="0.2">
      <c r="B372" s="6"/>
      <c r="C372" s="6"/>
      <c r="D372" s="2"/>
      <c r="E372" s="2"/>
      <c r="F372" s="2"/>
      <c r="G372" s="2"/>
      <c r="H372" s="2"/>
      <c r="I372" s="2"/>
    </row>
    <row r="373" spans="2:9" x14ac:dyDescent="0.2">
      <c r="B373" s="6"/>
      <c r="C373" s="6"/>
      <c r="D373" s="2"/>
      <c r="E373" s="2"/>
      <c r="F373" s="2"/>
      <c r="G373" s="2"/>
      <c r="H373" s="2"/>
      <c r="I373" s="2"/>
    </row>
    <row r="374" spans="2:9" x14ac:dyDescent="0.2">
      <c r="B374" s="6"/>
      <c r="C374" s="6"/>
      <c r="D374" s="2"/>
      <c r="E374" s="2"/>
      <c r="F374" s="2"/>
      <c r="G374" s="2"/>
      <c r="H374" s="2"/>
      <c r="I374" s="2"/>
    </row>
    <row r="375" spans="2:9" x14ac:dyDescent="0.2">
      <c r="B375" s="6"/>
      <c r="C375" s="6"/>
      <c r="D375" s="2"/>
      <c r="E375" s="2"/>
      <c r="F375" s="2"/>
      <c r="G375" s="2"/>
      <c r="H375" s="2"/>
      <c r="I375" s="2"/>
    </row>
    <row r="376" spans="2:9" x14ac:dyDescent="0.2">
      <c r="B376" s="6"/>
      <c r="C376" s="6"/>
      <c r="D376" s="2"/>
      <c r="E376" s="2"/>
      <c r="F376" s="2"/>
      <c r="G376" s="2"/>
      <c r="H376" s="2"/>
      <c r="I376" s="2"/>
    </row>
    <row r="377" spans="2:9" x14ac:dyDescent="0.2">
      <c r="B377" s="6"/>
      <c r="C377" s="6"/>
      <c r="D377" s="2"/>
      <c r="E377" s="2"/>
      <c r="F377" s="2"/>
      <c r="G377" s="2"/>
      <c r="H377" s="2"/>
      <c r="I377" s="2"/>
    </row>
    <row r="378" spans="2:9" x14ac:dyDescent="0.2">
      <c r="B378" s="6"/>
      <c r="C378" s="6"/>
      <c r="D378" s="2"/>
      <c r="E378" s="2"/>
      <c r="F378" s="2"/>
      <c r="G378" s="2"/>
      <c r="H378" s="2"/>
      <c r="I378" s="2"/>
    </row>
    <row r="379" spans="2:9" x14ac:dyDescent="0.2">
      <c r="B379" s="6"/>
      <c r="C379" s="6"/>
      <c r="D379" s="2"/>
      <c r="E379" s="2"/>
      <c r="F379" s="2"/>
      <c r="G379" s="2"/>
      <c r="H379" s="2"/>
      <c r="I379" s="2"/>
    </row>
    <row r="380" spans="2:9" x14ac:dyDescent="0.2">
      <c r="B380" s="6"/>
      <c r="C380" s="6"/>
      <c r="D380" s="2"/>
      <c r="E380" s="2"/>
      <c r="F380" s="2"/>
      <c r="G380" s="2"/>
      <c r="H380" s="2"/>
      <c r="I380" s="2"/>
    </row>
    <row r="381" spans="2:9" x14ac:dyDescent="0.2">
      <c r="B381" s="6"/>
      <c r="C381" s="6"/>
      <c r="D381" s="2"/>
      <c r="E381" s="2"/>
      <c r="F381" s="2"/>
      <c r="G381" s="2"/>
      <c r="H381" s="2"/>
      <c r="I381" s="2"/>
    </row>
    <row r="382" spans="2:9" x14ac:dyDescent="0.2">
      <c r="B382" s="6"/>
      <c r="C382" s="6"/>
      <c r="D382" s="2"/>
      <c r="E382" s="2"/>
      <c r="F382" s="2"/>
      <c r="G382" s="2"/>
      <c r="H382" s="2"/>
      <c r="I382" s="2"/>
    </row>
    <row r="383" spans="2:9" x14ac:dyDescent="0.2">
      <c r="B383" s="6"/>
      <c r="C383" s="6"/>
      <c r="D383" s="2"/>
      <c r="E383" s="2"/>
      <c r="F383" s="2"/>
      <c r="G383" s="2"/>
      <c r="H383" s="2"/>
      <c r="I383" s="2"/>
    </row>
    <row r="384" spans="2:9" x14ac:dyDescent="0.2">
      <c r="B384" s="6"/>
      <c r="C384" s="6"/>
      <c r="D384" s="2"/>
      <c r="E384" s="2"/>
      <c r="F384" s="2"/>
      <c r="G384" s="2"/>
      <c r="H384" s="2"/>
      <c r="I384" s="2"/>
    </row>
    <row r="385" spans="2:9" x14ac:dyDescent="0.2">
      <c r="B385" s="6"/>
      <c r="C385" s="6"/>
      <c r="D385" s="2"/>
      <c r="E385" s="2"/>
      <c r="F385" s="2"/>
      <c r="G385" s="2"/>
      <c r="H385" s="2"/>
      <c r="I385" s="2"/>
    </row>
    <row r="386" spans="2:9" x14ac:dyDescent="0.2">
      <c r="B386" s="6"/>
      <c r="C386" s="6"/>
      <c r="D386" s="2"/>
      <c r="E386" s="2"/>
      <c r="F386" s="2"/>
      <c r="G386" s="2"/>
      <c r="H386" s="2"/>
      <c r="I386" s="2"/>
    </row>
    <row r="387" spans="2:9" x14ac:dyDescent="0.2">
      <c r="B387" s="6"/>
      <c r="C387" s="6"/>
      <c r="D387" s="2"/>
      <c r="E387" s="2"/>
      <c r="F387" s="2"/>
      <c r="G387" s="2"/>
      <c r="H387" s="2"/>
      <c r="I387" s="2"/>
    </row>
    <row r="388" spans="2:9" x14ac:dyDescent="0.2">
      <c r="B388" s="6"/>
      <c r="C388" s="6"/>
      <c r="D388" s="2"/>
      <c r="E388" s="2"/>
      <c r="F388" s="2"/>
      <c r="G388" s="2"/>
      <c r="H388" s="2"/>
      <c r="I388" s="2"/>
    </row>
    <row r="389" spans="2:9" x14ac:dyDescent="0.2">
      <c r="B389" s="6"/>
      <c r="C389" s="6"/>
      <c r="D389" s="2"/>
      <c r="E389" s="2"/>
      <c r="F389" s="2"/>
      <c r="G389" s="2"/>
      <c r="H389" s="2"/>
      <c r="I389" s="2"/>
    </row>
    <row r="390" spans="2:9" x14ac:dyDescent="0.2">
      <c r="B390" s="6"/>
      <c r="C390" s="6"/>
      <c r="D390" s="2"/>
      <c r="E390" s="2"/>
      <c r="F390" s="2"/>
      <c r="G390" s="2"/>
      <c r="H390" s="2"/>
      <c r="I390" s="2"/>
    </row>
    <row r="391" spans="2:9" x14ac:dyDescent="0.2">
      <c r="B391" s="6"/>
      <c r="C391" s="6"/>
      <c r="D391" s="2"/>
      <c r="E391" s="2"/>
      <c r="F391" s="2"/>
      <c r="G391" s="2"/>
      <c r="H391" s="2"/>
      <c r="I391" s="2"/>
    </row>
    <row r="392" spans="2:9" x14ac:dyDescent="0.2">
      <c r="B392" s="6"/>
      <c r="C392" s="6"/>
      <c r="D392" s="2"/>
      <c r="E392" s="2"/>
      <c r="F392" s="2"/>
      <c r="G392" s="2"/>
      <c r="H392" s="2"/>
      <c r="I392" s="2"/>
    </row>
    <row r="393" spans="2:9" x14ac:dyDescent="0.2">
      <c r="B393" s="6"/>
      <c r="C393" s="6"/>
      <c r="D393" s="2"/>
      <c r="E393" s="2"/>
      <c r="F393" s="2"/>
      <c r="G393" s="2"/>
      <c r="H393" s="2"/>
      <c r="I393" s="2"/>
    </row>
    <row r="394" spans="2:9" x14ac:dyDescent="0.2">
      <c r="B394" s="6"/>
      <c r="C394" s="6"/>
      <c r="D394" s="2"/>
    </row>
    <row r="395" spans="2:9" x14ac:dyDescent="0.2">
      <c r="B395" s="6"/>
      <c r="C395" s="6"/>
    </row>
    <row r="396" spans="2:9" x14ac:dyDescent="0.2">
      <c r="B396" s="6"/>
      <c r="C396" s="6"/>
    </row>
    <row r="397" spans="2:9" x14ac:dyDescent="0.2">
      <c r="B397" s="6"/>
      <c r="C397" s="6"/>
    </row>
    <row r="398" spans="2:9" x14ac:dyDescent="0.2">
      <c r="B398" s="6"/>
      <c r="C398" s="6"/>
    </row>
    <row r="399" spans="2:9" x14ac:dyDescent="0.2">
      <c r="B399" s="6"/>
      <c r="C399" s="6"/>
    </row>
    <row r="400" spans="2:9" x14ac:dyDescent="0.2">
      <c r="B400" s="6"/>
      <c r="C400" s="6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  <row r="879" spans="2:3" x14ac:dyDescent="0.2">
      <c r="B879" s="6"/>
      <c r="C879" s="6"/>
    </row>
    <row r="880" spans="2:3" x14ac:dyDescent="0.2">
      <c r="B880" s="6"/>
      <c r="C880" s="6"/>
    </row>
    <row r="881" spans="2:3" x14ac:dyDescent="0.2">
      <c r="B881" s="6"/>
      <c r="C881" s="6"/>
    </row>
    <row r="882" spans="2:3" x14ac:dyDescent="0.2">
      <c r="B882" s="6"/>
      <c r="C882" s="6"/>
    </row>
    <row r="883" spans="2:3" x14ac:dyDescent="0.2">
      <c r="B883" s="6"/>
      <c r="C883" s="6"/>
    </row>
    <row r="884" spans="2:3" x14ac:dyDescent="0.2">
      <c r="B884" s="6"/>
      <c r="C884" s="6"/>
    </row>
    <row r="885" spans="2:3" x14ac:dyDescent="0.2">
      <c r="B885" s="6"/>
      <c r="C885" s="6"/>
    </row>
    <row r="886" spans="2:3" x14ac:dyDescent="0.2">
      <c r="B886" s="6"/>
      <c r="C886" s="6"/>
    </row>
    <row r="887" spans="2:3" x14ac:dyDescent="0.2">
      <c r="B887" s="6"/>
      <c r="C887" s="6"/>
    </row>
    <row r="888" spans="2:3" x14ac:dyDescent="0.2">
      <c r="B888" s="6"/>
      <c r="C888" s="6"/>
    </row>
    <row r="889" spans="2:3" x14ac:dyDescent="0.2">
      <c r="B889" s="6"/>
      <c r="C889" s="6"/>
    </row>
    <row r="890" spans="2:3" x14ac:dyDescent="0.2">
      <c r="B890" s="6"/>
      <c r="C890" s="6"/>
    </row>
    <row r="891" spans="2:3" x14ac:dyDescent="0.2">
      <c r="B891" s="6"/>
      <c r="C891" s="6"/>
    </row>
    <row r="892" spans="2:3" x14ac:dyDescent="0.2">
      <c r="B892" s="6"/>
      <c r="C892" s="6"/>
    </row>
    <row r="893" spans="2:3" x14ac:dyDescent="0.2">
      <c r="B893" s="6"/>
      <c r="C893" s="6"/>
    </row>
    <row r="894" spans="2:3" x14ac:dyDescent="0.2">
      <c r="B894" s="6"/>
      <c r="C894" s="6"/>
    </row>
    <row r="895" spans="2:3" x14ac:dyDescent="0.2">
      <c r="B895" s="6"/>
      <c r="C895" s="6"/>
    </row>
    <row r="896" spans="2:3" x14ac:dyDescent="0.2">
      <c r="B896" s="6"/>
      <c r="C896" s="6"/>
    </row>
    <row r="897" spans="2:3" x14ac:dyDescent="0.2">
      <c r="B897" s="6"/>
      <c r="C897" s="6"/>
    </row>
    <row r="898" spans="2:3" x14ac:dyDescent="0.2">
      <c r="B898" s="6"/>
      <c r="C898" s="6"/>
    </row>
    <row r="899" spans="2:3" x14ac:dyDescent="0.2">
      <c r="B899" s="6"/>
      <c r="C899" s="6"/>
    </row>
    <row r="900" spans="2:3" x14ac:dyDescent="0.2">
      <c r="B900" s="6"/>
      <c r="C900" s="6"/>
    </row>
    <row r="901" spans="2:3" x14ac:dyDescent="0.2">
      <c r="B901" s="6"/>
      <c r="C901" s="6"/>
    </row>
    <row r="902" spans="2:3" x14ac:dyDescent="0.2">
      <c r="B902" s="6"/>
      <c r="C902" s="6"/>
    </row>
    <row r="903" spans="2:3" x14ac:dyDescent="0.2">
      <c r="B903" s="6"/>
      <c r="C903" s="6"/>
    </row>
    <row r="904" spans="2:3" x14ac:dyDescent="0.2">
      <c r="B904" s="6"/>
      <c r="C904" s="6"/>
    </row>
    <row r="905" spans="2:3" x14ac:dyDescent="0.2">
      <c r="B905" s="6"/>
      <c r="C905" s="6"/>
    </row>
    <row r="906" spans="2:3" x14ac:dyDescent="0.2">
      <c r="B906" s="6"/>
      <c r="C906" s="6"/>
    </row>
    <row r="907" spans="2:3" x14ac:dyDescent="0.2">
      <c r="B907" s="6"/>
      <c r="C907" s="6"/>
    </row>
    <row r="908" spans="2:3" x14ac:dyDescent="0.2">
      <c r="B908" s="6"/>
      <c r="C908" s="6"/>
    </row>
    <row r="909" spans="2:3" x14ac:dyDescent="0.2">
      <c r="B909" s="6"/>
      <c r="C909" s="6"/>
    </row>
    <row r="910" spans="2:3" x14ac:dyDescent="0.2">
      <c r="B910" s="6"/>
      <c r="C910" s="6"/>
    </row>
    <row r="911" spans="2:3" x14ac:dyDescent="0.2">
      <c r="B911" s="6"/>
      <c r="C911" s="6"/>
    </row>
    <row r="912" spans="2:3" x14ac:dyDescent="0.2">
      <c r="B912" s="6"/>
      <c r="C912" s="6"/>
    </row>
    <row r="913" spans="2:3" x14ac:dyDescent="0.2">
      <c r="B913" s="6"/>
      <c r="C913" s="6"/>
    </row>
    <row r="914" spans="2:3" x14ac:dyDescent="0.2">
      <c r="B914" s="6"/>
      <c r="C914" s="6"/>
    </row>
    <row r="915" spans="2:3" x14ac:dyDescent="0.2">
      <c r="B915" s="6"/>
      <c r="C915" s="6"/>
    </row>
    <row r="916" spans="2:3" x14ac:dyDescent="0.2">
      <c r="B916" s="6"/>
      <c r="C916" s="6"/>
    </row>
  </sheetData>
  <customSheetViews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27">
    <mergeCell ref="L131:M131"/>
    <mergeCell ref="A7:A10"/>
    <mergeCell ref="B7:B10"/>
    <mergeCell ref="C7:C10"/>
    <mergeCell ref="J8:J10"/>
    <mergeCell ref="K8:K10"/>
    <mergeCell ref="E7:I7"/>
    <mergeCell ref="I8:I10"/>
    <mergeCell ref="G9:G10"/>
    <mergeCell ref="E8:E10"/>
    <mergeCell ref="H9:H10"/>
    <mergeCell ref="L133:M133"/>
    <mergeCell ref="K3:O3"/>
    <mergeCell ref="N1:O1"/>
    <mergeCell ref="L2:P2"/>
    <mergeCell ref="D7:D10"/>
    <mergeCell ref="B5:P5"/>
    <mergeCell ref="J7:O7"/>
    <mergeCell ref="M9:M10"/>
    <mergeCell ref="L8:L10"/>
    <mergeCell ref="M8:N8"/>
    <mergeCell ref="O8:O10"/>
    <mergeCell ref="N9:N10"/>
    <mergeCell ref="A131:D131"/>
    <mergeCell ref="P7:P10"/>
    <mergeCell ref="F8:F10"/>
    <mergeCell ref="G8:H8"/>
  </mergeCells>
  <phoneticPr fontId="2" type="noConversion"/>
  <conditionalFormatting sqref="P164:P232 P141:P143 P146 P162 P149:P150 P152 J63 F63:H63 E130 G23:H37 E63:E65 E12:H12 E71:E72 F72 E62:F62 F65 E116:H116 E13 E67 E118:H118 E117 E121 H62 E92:F96 P131:P134 E52:E56 E75:F80 F83:F89 E99:F99 F111:F112 P116:P120 E93:E98 P98:P99 E109:E115 F115 F119:H119 E39:F51 E14:H21 E22:E38 E122:F129 H51:H60 P122:P129 P67:P89 P92:P96 P14:P60">
    <cfRule type="cellIs" dxfId="59" priority="122" stopIfTrue="1" operator="equal">
      <formula>0</formula>
    </cfRule>
  </conditionalFormatting>
  <conditionalFormatting sqref="K118:O120 K62:O62 I62 K14:O21 K23:O37 K122:O129 I51:I60 K51:O60">
    <cfRule type="cellIs" dxfId="58" priority="124" stopIfTrue="1" operator="equal">
      <formula>0</formula>
    </cfRule>
  </conditionalFormatting>
  <conditionalFormatting sqref="G22:I22">
    <cfRule type="cellIs" dxfId="57" priority="91" stopIfTrue="1" operator="equal">
      <formula>0</formula>
    </cfRule>
  </conditionalFormatting>
  <conditionalFormatting sqref="E68:E70">
    <cfRule type="cellIs" dxfId="56" priority="87" stopIfTrue="1" operator="equal">
      <formula>0</formula>
    </cfRule>
  </conditionalFormatting>
  <conditionalFormatting sqref="F57:F60">
    <cfRule type="cellIs" dxfId="55" priority="85" stopIfTrue="1" operator="equal">
      <formula>0</formula>
    </cfRule>
  </conditionalFormatting>
  <conditionalFormatting sqref="F67">
    <cfRule type="cellIs" dxfId="54" priority="84" stopIfTrue="1" operator="equal">
      <formula>0</formula>
    </cfRule>
  </conditionalFormatting>
  <conditionalFormatting sqref="E73:F74">
    <cfRule type="cellIs" dxfId="53" priority="83" stopIfTrue="1" operator="equal">
      <formula>0</formula>
    </cfRule>
  </conditionalFormatting>
  <conditionalFormatting sqref="F81">
    <cfRule type="cellIs" dxfId="52" priority="82" stopIfTrue="1" operator="equal">
      <formula>0</formula>
    </cfRule>
  </conditionalFormatting>
  <conditionalFormatting sqref="F71:G71">
    <cfRule type="cellIs" dxfId="51" priority="80" stopIfTrue="1" operator="equal">
      <formula>0</formula>
    </cfRule>
  </conditionalFormatting>
  <conditionalFormatting sqref="F66:O66">
    <cfRule type="cellIs" dxfId="50" priority="69" stopIfTrue="1" operator="equal">
      <formula>0</formula>
    </cfRule>
  </conditionalFormatting>
  <conditionalFormatting sqref="F117:H117">
    <cfRule type="cellIs" dxfId="49" priority="73" stopIfTrue="1" operator="equal">
      <formula>0</formula>
    </cfRule>
  </conditionalFormatting>
  <conditionalFormatting sqref="P65 P62:P63">
    <cfRule type="cellIs" dxfId="48" priority="72" stopIfTrue="1" operator="equal">
      <formula>0</formula>
    </cfRule>
  </conditionalFormatting>
  <conditionalFormatting sqref="F121:P121">
    <cfRule type="cellIs" dxfId="47" priority="71" stopIfTrue="1" operator="equal">
      <formula>0</formula>
    </cfRule>
  </conditionalFormatting>
  <conditionalFormatting sqref="J12:L12 O12">
    <cfRule type="cellIs" dxfId="46" priority="65" stopIfTrue="1" operator="equal">
      <formula>0</formula>
    </cfRule>
  </conditionalFormatting>
  <conditionalFormatting sqref="F68:O68">
    <cfRule type="cellIs" dxfId="45" priority="64" stopIfTrue="1" operator="equal">
      <formula>0</formula>
    </cfRule>
  </conditionalFormatting>
  <conditionalFormatting sqref="H71:O71">
    <cfRule type="cellIs" dxfId="44" priority="68" stopIfTrue="1" operator="equal">
      <formula>0</formula>
    </cfRule>
  </conditionalFormatting>
  <conditionalFormatting sqref="E61:H61">
    <cfRule type="cellIs" dxfId="43" priority="60" stopIfTrue="1" operator="equal">
      <formula>0</formula>
    </cfRule>
  </conditionalFormatting>
  <conditionalFormatting sqref="K61:O61">
    <cfRule type="cellIs" dxfId="42" priority="61" stopIfTrue="1" operator="equal">
      <formula>0</formula>
    </cfRule>
  </conditionalFormatting>
  <conditionalFormatting sqref="P61">
    <cfRule type="cellIs" dxfId="41" priority="59" stopIfTrue="1" operator="equal">
      <formula>0</formula>
    </cfRule>
  </conditionalFormatting>
  <conditionalFormatting sqref="F82:I82">
    <cfRule type="cellIs" dxfId="40" priority="57" stopIfTrue="1" operator="equal">
      <formula>0</formula>
    </cfRule>
  </conditionalFormatting>
  <conditionalFormatting sqref="F90:F91 P90:P91">
    <cfRule type="cellIs" dxfId="39" priority="55" stopIfTrue="1" operator="equal">
      <formula>0</formula>
    </cfRule>
  </conditionalFormatting>
  <conditionalFormatting sqref="F52:F56">
    <cfRule type="cellIs" dxfId="38" priority="53" stopIfTrue="1" operator="equal">
      <formula>0</formula>
    </cfRule>
  </conditionalFormatting>
  <conditionalFormatting sqref="F22:F29">
    <cfRule type="cellIs" dxfId="37" priority="42" stopIfTrue="1" operator="equal">
      <formula>0</formula>
    </cfRule>
  </conditionalFormatting>
  <conditionalFormatting sqref="J22:O22">
    <cfRule type="cellIs" dxfId="36" priority="44" stopIfTrue="1" operator="equal">
      <formula>0</formula>
    </cfRule>
  </conditionalFormatting>
  <conditionalFormatting sqref="P12">
    <cfRule type="cellIs" dxfId="35" priority="51" stopIfTrue="1" operator="equal">
      <formula>0</formula>
    </cfRule>
  </conditionalFormatting>
  <conditionalFormatting sqref="I12">
    <cfRule type="cellIs" dxfId="34" priority="50" stopIfTrue="1" operator="equal">
      <formula>0</formula>
    </cfRule>
  </conditionalFormatting>
  <conditionalFormatting sqref="M12">
    <cfRule type="cellIs" dxfId="33" priority="48" stopIfTrue="1" operator="equal">
      <formula>0</formula>
    </cfRule>
  </conditionalFormatting>
  <conditionalFormatting sqref="N12">
    <cfRule type="cellIs" dxfId="32" priority="46" stopIfTrue="1" operator="equal">
      <formula>0</formula>
    </cfRule>
  </conditionalFormatting>
  <conditionalFormatting sqref="E66">
    <cfRule type="cellIs" dxfId="31" priority="37" stopIfTrue="1" operator="equal">
      <formula>0</formula>
    </cfRule>
  </conditionalFormatting>
  <conditionalFormatting sqref="F33:F37">
    <cfRule type="cellIs" dxfId="30" priority="41" stopIfTrue="1" operator="equal">
      <formula>0</formula>
    </cfRule>
  </conditionalFormatting>
  <conditionalFormatting sqref="E57:E60">
    <cfRule type="cellIs" dxfId="29" priority="39" stopIfTrue="1" operator="equal">
      <formula>0</formula>
    </cfRule>
  </conditionalFormatting>
  <conditionalFormatting sqref="F38">
    <cfRule type="cellIs" dxfId="28" priority="40" stopIfTrue="1" operator="equal">
      <formula>0</formula>
    </cfRule>
  </conditionalFormatting>
  <conditionalFormatting sqref="E81">
    <cfRule type="cellIs" dxfId="27" priority="33" stopIfTrue="1" operator="equal">
      <formula>0</formula>
    </cfRule>
  </conditionalFormatting>
  <conditionalFormatting sqref="P66">
    <cfRule type="cellIs" dxfId="26" priority="36" stopIfTrue="1" operator="equal">
      <formula>0</formula>
    </cfRule>
  </conditionalFormatting>
  <conditionalFormatting sqref="F97:P97">
    <cfRule type="cellIs" dxfId="25" priority="27" stopIfTrue="1" operator="equal">
      <formula>0</formula>
    </cfRule>
  </conditionalFormatting>
  <conditionalFormatting sqref="F69:F70">
    <cfRule type="cellIs" dxfId="24" priority="35" stopIfTrue="1" operator="equal">
      <formula>0</formula>
    </cfRule>
  </conditionalFormatting>
  <conditionalFormatting sqref="G76">
    <cfRule type="cellIs" dxfId="23" priority="34" stopIfTrue="1" operator="equal">
      <formula>0</formula>
    </cfRule>
  </conditionalFormatting>
  <conditionalFormatting sqref="E82:E86">
    <cfRule type="cellIs" dxfId="22" priority="32" stopIfTrue="1" operator="equal">
      <formula>0</formula>
    </cfRule>
  </conditionalFormatting>
  <conditionalFormatting sqref="E87:E89">
    <cfRule type="cellIs" dxfId="21" priority="31" stopIfTrue="1" operator="equal">
      <formula>0</formula>
    </cfRule>
  </conditionalFormatting>
  <conditionalFormatting sqref="E90">
    <cfRule type="cellIs" dxfId="20" priority="30" stopIfTrue="1" operator="equal">
      <formula>0</formula>
    </cfRule>
  </conditionalFormatting>
  <conditionalFormatting sqref="E91">
    <cfRule type="cellIs" dxfId="19" priority="29" stopIfTrue="1" operator="equal">
      <formula>0</formula>
    </cfRule>
  </conditionalFormatting>
  <conditionalFormatting sqref="P106">
    <cfRule type="cellIs" dxfId="18" priority="22" stopIfTrue="1" operator="equal">
      <formula>0</formula>
    </cfRule>
  </conditionalFormatting>
  <conditionalFormatting sqref="E100:F100 E101:E102 E103:F105 P100:P105">
    <cfRule type="cellIs" dxfId="17" priority="26" stopIfTrue="1" operator="equal">
      <formula>0</formula>
    </cfRule>
  </conditionalFormatting>
  <conditionalFormatting sqref="F102">
    <cfRule type="cellIs" dxfId="16" priority="25" stopIfTrue="1" operator="equal">
      <formula>0</formula>
    </cfRule>
  </conditionalFormatting>
  <conditionalFormatting sqref="F101">
    <cfRule type="cellIs" dxfId="15" priority="24" stopIfTrue="1" operator="equal">
      <formula>0</formula>
    </cfRule>
  </conditionalFormatting>
  <conditionalFormatting sqref="E106">
    <cfRule type="cellIs" dxfId="14" priority="23" stopIfTrue="1" operator="equal">
      <formula>0</formula>
    </cfRule>
  </conditionalFormatting>
  <conditionalFormatting sqref="F107:F108">
    <cfRule type="cellIs" dxfId="13" priority="21" stopIfTrue="1" operator="equal">
      <formula>0</formula>
    </cfRule>
  </conditionalFormatting>
  <conditionalFormatting sqref="F109:F110">
    <cfRule type="cellIs" dxfId="12" priority="20" stopIfTrue="1" operator="equal">
      <formula>0</formula>
    </cfRule>
  </conditionalFormatting>
  <conditionalFormatting sqref="E107:E108">
    <cfRule type="cellIs" dxfId="11" priority="18" stopIfTrue="1" operator="equal">
      <formula>0</formula>
    </cfRule>
  </conditionalFormatting>
  <conditionalFormatting sqref="P107:P112 P115">
    <cfRule type="cellIs" dxfId="10" priority="16" stopIfTrue="1" operator="equal">
      <formula>0</formula>
    </cfRule>
  </conditionalFormatting>
  <conditionalFormatting sqref="F98:O98">
    <cfRule type="cellIs" dxfId="9" priority="15" stopIfTrue="1" operator="equal">
      <formula>0</formula>
    </cfRule>
  </conditionalFormatting>
  <conditionalFormatting sqref="F114:P114">
    <cfRule type="cellIs" dxfId="8" priority="14" stopIfTrue="1" operator="equal">
      <formula>0</formula>
    </cfRule>
  </conditionalFormatting>
  <conditionalFormatting sqref="F113:P113">
    <cfRule type="cellIs" dxfId="7" priority="13" stopIfTrue="1" operator="equal">
      <formula>0</formula>
    </cfRule>
  </conditionalFormatting>
  <conditionalFormatting sqref="E119:E120">
    <cfRule type="cellIs" dxfId="6" priority="12" stopIfTrue="1" operator="equal">
      <formula>0</formula>
    </cfRule>
  </conditionalFormatting>
  <conditionalFormatting sqref="F130:O130">
    <cfRule type="cellIs" dxfId="5" priority="11" stopIfTrue="1" operator="equal">
      <formula>0</formula>
    </cfRule>
  </conditionalFormatting>
  <conditionalFormatting sqref="P130">
    <cfRule type="cellIs" dxfId="4" priority="10" stopIfTrue="1" operator="equal">
      <formula>0</formula>
    </cfRule>
  </conditionalFormatting>
  <conditionalFormatting sqref="F13:P13">
    <cfRule type="cellIs" dxfId="3" priority="6" stopIfTrue="1" operator="equal">
      <formula>0</formula>
    </cfRule>
  </conditionalFormatting>
  <conditionalFormatting sqref="F30:F32">
    <cfRule type="cellIs" dxfId="2" priority="4" stopIfTrue="1" operator="equal">
      <formula>0</formula>
    </cfRule>
  </conditionalFormatting>
  <conditionalFormatting sqref="F64:O64">
    <cfRule type="cellIs" dxfId="1" priority="2" stopIfTrue="1" operator="equal">
      <formula>0</formula>
    </cfRule>
  </conditionalFormatting>
  <conditionalFormatting sqref="P64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39" fitToHeight="16" orientation="landscape" r:id="rId6"/>
  <headerFooter differentFirst="1" alignWithMargins="0">
    <oddHeader>&amp;C&amp;P&amp;R</oddHeader>
    <oddFooter>&amp;C</oddFooter>
  </headerFooter>
  <rowBreaks count="5" manualBreakCount="5">
    <brk id="30" max="15" man="1"/>
    <brk id="48" max="15" man="1"/>
    <brk id="74" max="15" man="1"/>
    <brk id="93" max="15" man="1"/>
    <brk id="10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2021-10-07T11:58:44Z</cp:lastPrinted>
  <dcterms:created xsi:type="dcterms:W3CDTF">2002-12-20T15:22:07Z</dcterms:created>
  <dcterms:modified xsi:type="dcterms:W3CDTF">2021-11-16T13:45:45Z</dcterms:modified>
</cp:coreProperties>
</file>