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Лист1!$B$11:$B$131</definedName>
    <definedName name="Z_01103F3B_1332_4093_B57F_6650A7DBBBBF_.wvu.FilterData" localSheetId="0" hidden="1">Лист1!$B$11:$B$131</definedName>
    <definedName name="Z_346E1572_03B0_45DE_8A70_DADA57F5C395_.wvu.FilterData" localSheetId="0" hidden="1">Лист1!$B$11:$B$131</definedName>
    <definedName name="Z_38D1CC3F_51A4_4BBC_9A15_79589D08CD18_.wvu.FilterData" localSheetId="0" hidden="1">Лист1!$B$11:$B$131</definedName>
    <definedName name="Z_38D1CC3F_51A4_4BBC_9A15_79589D08CD18_.wvu.PrintArea" localSheetId="0" hidden="1">Лист1!$A$1:$P$132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Лист1!#REF!,Лист1!#REF!,Лист1!$139:$142,Лист1!$147:$151,Лист1!$156:$158</definedName>
    <definedName name="Z_396681B9_724F_4DAB_81F9_27C1FC08386D_.wvu.FilterData" localSheetId="0" hidden="1">Лист1!$B$11:$B$131</definedName>
    <definedName name="Z_396681B9_724F_4DAB_81F9_27C1FC08386D_.wvu.PrintArea" localSheetId="0" hidden="1">Лист1!$A$1:$P$131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Лист1!#REF!,Лист1!#REF!,Лист1!$139:$142,Лист1!$147:$151,Лист1!$156:$158</definedName>
    <definedName name="Z_465640CF_4A30_4CBE_9694_134E4F6DC5E7_.wvu.FilterData" localSheetId="0" hidden="1">Лист1!$B$11:$B$131</definedName>
    <definedName name="Z_465640CF_4A30_4CBE_9694_134E4F6DC5E7_.wvu.PrintArea" localSheetId="0" hidden="1">Лист1!$A$1:$P$132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Лист1!#REF!,Лист1!#REF!,Лист1!$139:$142,Лист1!$147:$151,Лист1!$156:$158</definedName>
    <definedName name="Z_D97EC1B7_648F_4C29_B394_E66A20209E53_.wvu.FilterData" localSheetId="0" hidden="1">Лист1!$B$11:$B$131</definedName>
    <definedName name="Z_D97EC1B7_648F_4C29_B394_E66A20209E53_.wvu.PrintArea" localSheetId="0" hidden="1">Лист1!$A$1:$P$131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Лист1!#REF!,Лист1!#REF!,Лист1!$139:$142,Лист1!$147:$151,Лист1!$156:$158</definedName>
    <definedName name="_xlnm.Print_Titles" localSheetId="0">Лист1!$7:$11</definedName>
    <definedName name="_xlnm.Print_Area" localSheetId="0">Лист1!$A$1:$P$131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O93" i="1" l="1"/>
  <c r="F55" i="1"/>
  <c r="F49" i="1"/>
  <c r="P87" i="1" l="1"/>
  <c r="J87" i="1"/>
  <c r="O62" i="1"/>
  <c r="E62" i="1"/>
  <c r="F62" i="1"/>
  <c r="O87" i="1"/>
  <c r="E87" i="1"/>
  <c r="F79" i="1"/>
  <c r="P58" i="1" l="1"/>
  <c r="P22" i="1"/>
  <c r="P14" i="1"/>
  <c r="F14" i="1"/>
  <c r="P94" i="1"/>
  <c r="P73" i="1"/>
  <c r="P72" i="1"/>
  <c r="P66" i="1"/>
  <c r="P64" i="1"/>
  <c r="P115" i="1" l="1"/>
  <c r="H116" i="1"/>
  <c r="O72" i="1"/>
  <c r="K79" i="1"/>
  <c r="J66" i="1"/>
  <c r="K66" i="1"/>
  <c r="K55" i="1"/>
  <c r="O54" i="1"/>
  <c r="P52" i="1"/>
  <c r="J52" i="1"/>
  <c r="O52" i="1"/>
  <c r="K51" i="1"/>
  <c r="E115" i="1"/>
  <c r="F115" i="1"/>
  <c r="E127" i="1"/>
  <c r="P127" i="1" s="1"/>
  <c r="F116" i="1"/>
  <c r="F97" i="1"/>
  <c r="F67" i="1"/>
  <c r="F66" i="1" s="1"/>
  <c r="F13" i="1"/>
  <c r="E58" i="1"/>
  <c r="H49" i="1"/>
  <c r="J22" i="1"/>
  <c r="K22" i="1"/>
  <c r="O22" i="1"/>
  <c r="O23" i="1"/>
  <c r="K23" i="1"/>
  <c r="F23" i="1"/>
  <c r="F22" i="1" s="1"/>
  <c r="H14" i="1"/>
  <c r="P96" i="1" l="1"/>
  <c r="P119" i="1"/>
  <c r="P92" i="1"/>
  <c r="O92" i="1"/>
  <c r="J92" i="1"/>
  <c r="P86" i="1"/>
  <c r="O86" i="1"/>
  <c r="J86" i="1"/>
  <c r="J79" i="1"/>
  <c r="O79" i="1"/>
  <c r="O63" i="1"/>
  <c r="J63" i="1"/>
  <c r="O56" i="1"/>
  <c r="P56" i="1" s="1"/>
  <c r="J56" i="1"/>
  <c r="K49" i="1"/>
  <c r="F125" i="1"/>
  <c r="F118" i="1"/>
  <c r="E94" i="1"/>
  <c r="G75" i="1"/>
  <c r="G74" i="1" s="1"/>
  <c r="E72" i="1"/>
  <c r="H67" i="1"/>
  <c r="H66" i="1" s="1"/>
  <c r="H64" i="1"/>
  <c r="F64" i="1"/>
  <c r="F63" i="1"/>
  <c r="J93" i="1" l="1"/>
  <c r="K93" i="1"/>
  <c r="K62" i="1" s="1"/>
  <c r="P70" i="1"/>
  <c r="P71" i="1"/>
  <c r="J72" i="1"/>
  <c r="K72" i="1"/>
  <c r="P57" i="1"/>
  <c r="J57" i="1"/>
  <c r="K57" i="1"/>
  <c r="J54" i="1"/>
  <c r="K54" i="1"/>
  <c r="K13" i="1" s="1"/>
  <c r="J49" i="1"/>
  <c r="J53" i="1"/>
  <c r="P53" i="1" s="1"/>
  <c r="K53" i="1"/>
  <c r="J51" i="1"/>
  <c r="J23" i="1"/>
  <c r="K14" i="1"/>
  <c r="O14" i="1"/>
  <c r="F122" i="1"/>
  <c r="F120" i="1"/>
  <c r="F119" i="1" s="1"/>
  <c r="E126" i="1"/>
  <c r="P126" i="1" s="1"/>
  <c r="G113" i="1"/>
  <c r="F113" i="1"/>
  <c r="F103" i="1"/>
  <c r="H90" i="1"/>
  <c r="F90" i="1"/>
  <c r="G67" i="1"/>
  <c r="G64" i="1"/>
  <c r="F50" i="1"/>
  <c r="F48" i="1"/>
  <c r="F27" i="1"/>
  <c r="E29" i="1"/>
  <c r="E30" i="1"/>
  <c r="P30" i="1" s="1"/>
  <c r="E31" i="1"/>
  <c r="P31" i="1" s="1"/>
  <c r="F26" i="1"/>
  <c r="E20" i="1"/>
  <c r="E21" i="1"/>
  <c r="F17" i="1"/>
  <c r="E17" i="1" s="1"/>
  <c r="E19" i="1"/>
  <c r="E18" i="1"/>
  <c r="E16" i="1"/>
  <c r="F15" i="1"/>
  <c r="E15" i="1" s="1"/>
  <c r="P93" i="1" l="1"/>
  <c r="P62" i="1" s="1"/>
  <c r="J62" i="1"/>
  <c r="P54" i="1"/>
  <c r="O51" i="1"/>
  <c r="J97" i="1"/>
  <c r="P29" i="1"/>
  <c r="E28" i="1"/>
  <c r="P28" i="1" s="1"/>
  <c r="F25" i="1"/>
  <c r="E47" i="1" l="1"/>
  <c r="F37" i="1"/>
  <c r="E125" i="1" l="1"/>
  <c r="E124" i="1"/>
  <c r="E123" i="1"/>
  <c r="E122" i="1"/>
  <c r="E121" i="1"/>
  <c r="E120" i="1"/>
  <c r="E118" i="1"/>
  <c r="E117" i="1"/>
  <c r="E116" i="1"/>
  <c r="O112" i="1"/>
  <c r="O111" i="1" s="1"/>
  <c r="N112" i="1"/>
  <c r="N111" i="1" s="1"/>
  <c r="M112" i="1"/>
  <c r="M111" i="1" s="1"/>
  <c r="L112" i="1"/>
  <c r="L111" i="1" s="1"/>
  <c r="K112" i="1"/>
  <c r="K111" i="1" s="1"/>
  <c r="J112" i="1"/>
  <c r="J111" i="1" s="1"/>
  <c r="I112" i="1"/>
  <c r="I111" i="1" s="1"/>
  <c r="H112" i="1"/>
  <c r="H111" i="1" s="1"/>
  <c r="G112" i="1"/>
  <c r="G111" i="1" s="1"/>
  <c r="F112" i="1"/>
  <c r="F111" i="1" s="1"/>
  <c r="E113" i="1"/>
  <c r="E112" i="1" s="1"/>
  <c r="E111" i="1" s="1"/>
  <c r="O96" i="1"/>
  <c r="N96" i="1"/>
  <c r="M96" i="1"/>
  <c r="L96" i="1"/>
  <c r="K96" i="1"/>
  <c r="J96" i="1"/>
  <c r="I96" i="1"/>
  <c r="H96" i="1"/>
  <c r="G96" i="1"/>
  <c r="E103" i="1"/>
  <c r="P103" i="1" s="1"/>
  <c r="P113" i="1" l="1"/>
  <c r="P112" i="1" s="1"/>
  <c r="P111" i="1" s="1"/>
  <c r="E119" i="1"/>
  <c r="F107" i="1"/>
  <c r="F96" i="1" s="1"/>
  <c r="F95" i="1" s="1"/>
  <c r="E110" i="1"/>
  <c r="P110" i="1" s="1"/>
  <c r="E109" i="1"/>
  <c r="P109" i="1" s="1"/>
  <c r="E108" i="1"/>
  <c r="P108" i="1" s="1"/>
  <c r="E107" i="1"/>
  <c r="P107" i="1" s="1"/>
  <c r="E106" i="1"/>
  <c r="P106" i="1" s="1"/>
  <c r="E105" i="1"/>
  <c r="P105" i="1" s="1"/>
  <c r="E104" i="1"/>
  <c r="P104" i="1" s="1"/>
  <c r="E102" i="1"/>
  <c r="P102" i="1" s="1"/>
  <c r="E101" i="1"/>
  <c r="P101" i="1" s="1"/>
  <c r="E100" i="1"/>
  <c r="P100" i="1" s="1"/>
  <c r="E99" i="1"/>
  <c r="P99" i="1" s="1"/>
  <c r="E98" i="1"/>
  <c r="P98" i="1" s="1"/>
  <c r="E97" i="1"/>
  <c r="E90" i="1"/>
  <c r="O95" i="1"/>
  <c r="N95" i="1"/>
  <c r="M95" i="1"/>
  <c r="L95" i="1"/>
  <c r="K95" i="1"/>
  <c r="J95" i="1"/>
  <c r="I95" i="1"/>
  <c r="H95" i="1"/>
  <c r="G95" i="1"/>
  <c r="J89" i="1"/>
  <c r="E89" i="1"/>
  <c r="E88" i="1"/>
  <c r="P88" i="1" s="1"/>
  <c r="E85" i="1"/>
  <c r="E84" i="1"/>
  <c r="E83" i="1"/>
  <c r="P83" i="1" s="1"/>
  <c r="E82" i="1"/>
  <c r="P82" i="1" s="1"/>
  <c r="E81" i="1"/>
  <c r="P81" i="1" s="1"/>
  <c r="E79" i="1"/>
  <c r="P79" i="1" s="1"/>
  <c r="E77" i="1"/>
  <c r="P77" i="1" s="1"/>
  <c r="E76" i="1"/>
  <c r="P76" i="1" s="1"/>
  <c r="E75" i="1"/>
  <c r="P75" i="1" s="1"/>
  <c r="E73" i="1"/>
  <c r="E69" i="1"/>
  <c r="E68" i="1"/>
  <c r="P68" i="1" s="1"/>
  <c r="E67" i="1"/>
  <c r="P67" i="1" s="1"/>
  <c r="E64" i="1"/>
  <c r="G63" i="1"/>
  <c r="E51" i="1"/>
  <c r="O49" i="1"/>
  <c r="J55" i="1"/>
  <c r="J13" i="1" s="1"/>
  <c r="E55" i="1"/>
  <c r="E50" i="1"/>
  <c r="E49" i="1"/>
  <c r="E48" i="1"/>
  <c r="E46" i="1"/>
  <c r="E45" i="1"/>
  <c r="F44" i="1"/>
  <c r="E44" i="1" s="1"/>
  <c r="F43" i="1"/>
  <c r="E43" i="1" s="1"/>
  <c r="F41" i="1"/>
  <c r="E42" i="1"/>
  <c r="F39" i="1"/>
  <c r="E39" i="1" s="1"/>
  <c r="F38" i="1"/>
  <c r="E63" i="1" l="1"/>
  <c r="F40" i="1"/>
  <c r="E40" i="1" s="1"/>
  <c r="E41" i="1"/>
  <c r="P97" i="1"/>
  <c r="E96" i="1"/>
  <c r="P51" i="1"/>
  <c r="P89" i="1"/>
  <c r="E37" i="1"/>
  <c r="F35" i="1"/>
  <c r="E35" i="1" s="1"/>
  <c r="E36" i="1"/>
  <c r="E33" i="1"/>
  <c r="F34" i="1"/>
  <c r="E34" i="1" s="1"/>
  <c r="E27" i="1"/>
  <c r="P27" i="1" s="1"/>
  <c r="E26" i="1"/>
  <c r="E23" i="1"/>
  <c r="E25" i="1"/>
  <c r="F24" i="1"/>
  <c r="E14" i="1" l="1"/>
  <c r="P95" i="1"/>
  <c r="E95" i="1"/>
  <c r="E22" i="1"/>
  <c r="E24" i="1"/>
  <c r="P24" i="1" s="1"/>
  <c r="F32" i="1"/>
  <c r="E32" i="1" s="1"/>
  <c r="N22" i="1"/>
  <c r="N13" i="1" s="1"/>
  <c r="M22" i="1"/>
  <c r="M13" i="1" s="1"/>
  <c r="L22" i="1"/>
  <c r="L13" i="1" s="1"/>
  <c r="H65" i="1" l="1"/>
  <c r="G65" i="1"/>
  <c r="E65" i="1"/>
  <c r="P50" i="1"/>
  <c r="G14" i="1"/>
  <c r="I80" i="1" l="1"/>
  <c r="H80" i="1"/>
  <c r="G80" i="1"/>
  <c r="F71" i="1"/>
  <c r="P59" i="1" l="1"/>
  <c r="F59" i="1"/>
  <c r="O55" i="1" l="1"/>
  <c r="O13" i="1" s="1"/>
  <c r="N66" i="1"/>
  <c r="M66" i="1"/>
  <c r="L66" i="1"/>
  <c r="I66" i="1"/>
  <c r="G66" i="1"/>
  <c r="G62" i="1" s="1"/>
  <c r="H69" i="1"/>
  <c r="I69" i="1"/>
  <c r="J69" i="1"/>
  <c r="K69" i="1"/>
  <c r="L69" i="1"/>
  <c r="M69" i="1"/>
  <c r="N69" i="1"/>
  <c r="O69" i="1"/>
  <c r="L12" i="1"/>
  <c r="K12" i="1"/>
  <c r="H115" i="1"/>
  <c r="G115" i="1"/>
  <c r="P124" i="1"/>
  <c r="P117" i="1"/>
  <c r="P90" i="1"/>
  <c r="P85" i="1"/>
  <c r="P84" i="1"/>
  <c r="P78" i="1"/>
  <c r="P65" i="1"/>
  <c r="P60" i="1"/>
  <c r="P55" i="1"/>
  <c r="P49" i="1"/>
  <c r="P48" i="1"/>
  <c r="P47" i="1"/>
  <c r="P46" i="1"/>
  <c r="P45" i="1"/>
  <c r="P43" i="1"/>
  <c r="P42" i="1"/>
  <c r="P41" i="1"/>
  <c r="P39" i="1"/>
  <c r="P36" i="1"/>
  <c r="P35" i="1"/>
  <c r="P34" i="1"/>
  <c r="P33" i="1"/>
  <c r="P26" i="1"/>
  <c r="P25" i="1"/>
  <c r="P23" i="1"/>
  <c r="P16" i="1"/>
  <c r="K61" i="1" l="1"/>
  <c r="K128" i="1" s="1"/>
  <c r="I62" i="1"/>
  <c r="M62" i="1"/>
  <c r="M61" i="1" s="1"/>
  <c r="M128" i="1" s="1"/>
  <c r="N62" i="1"/>
  <c r="N61" i="1" s="1"/>
  <c r="N128" i="1" s="1"/>
  <c r="H62" i="1"/>
  <c r="L62" i="1"/>
  <c r="E66" i="1"/>
  <c r="I61" i="1"/>
  <c r="P69" i="1"/>
  <c r="F65" i="1"/>
  <c r="P40" i="1" l="1"/>
  <c r="F78" i="1"/>
  <c r="F74" i="1" s="1"/>
  <c r="P32" i="1"/>
  <c r="P44" i="1"/>
  <c r="I22" i="1"/>
  <c r="I13" i="1" s="1"/>
  <c r="H22" i="1"/>
  <c r="H13" i="1" s="1"/>
  <c r="G22" i="1"/>
  <c r="G13" i="1" s="1"/>
  <c r="I128" i="1" l="1"/>
  <c r="E74" i="1"/>
  <c r="P74" i="1" s="1"/>
  <c r="F80" i="1"/>
  <c r="E80" i="1" s="1"/>
  <c r="P80" i="1" s="1"/>
  <c r="H12" i="1"/>
  <c r="G12" i="1"/>
  <c r="P121" i="1" l="1"/>
  <c r="P122" i="1"/>
  <c r="P123" i="1"/>
  <c r="P125" i="1"/>
  <c r="J114" i="1"/>
  <c r="G114" i="1"/>
  <c r="G128" i="1" s="1"/>
  <c r="H114" i="1"/>
  <c r="P116" i="1"/>
  <c r="O12" i="1" l="1"/>
  <c r="P118" i="1"/>
  <c r="F114" i="1"/>
  <c r="P120" i="1" l="1"/>
  <c r="E114" i="1" l="1"/>
  <c r="P114" i="1" l="1"/>
  <c r="O61" i="1" l="1"/>
  <c r="O128" i="1" s="1"/>
  <c r="L61" i="1" l="1"/>
  <c r="L128" i="1" s="1"/>
  <c r="H61" i="1" l="1"/>
  <c r="H128" i="1" s="1"/>
  <c r="J14" i="1" l="1"/>
  <c r="P63" i="1" l="1"/>
  <c r="J12" i="1"/>
  <c r="G61" i="1"/>
  <c r="J61" i="1" l="1"/>
  <c r="P15" i="1"/>
  <c r="P37" i="1"/>
  <c r="E38" i="1"/>
  <c r="E13" i="1" s="1"/>
  <c r="J128" i="1" l="1"/>
  <c r="P61" i="1"/>
  <c r="F12" i="1"/>
  <c r="P38" i="1"/>
  <c r="P13" i="1" s="1"/>
  <c r="E12" i="1" l="1"/>
  <c r="P12" i="1"/>
  <c r="E91" i="1"/>
  <c r="P91" i="1" l="1"/>
  <c r="E61" i="1"/>
  <c r="F61" i="1"/>
  <c r="F128" i="1" s="1"/>
  <c r="E128" i="1" l="1"/>
  <c r="P128" i="1"/>
</calcChain>
</file>

<file path=xl/sharedStrings.xml><?xml version="1.0" encoding="utf-8"?>
<sst xmlns="http://schemas.openxmlformats.org/spreadsheetml/2006/main" count="338" uniqueCount="242">
  <si>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</si>
  <si>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</si>
  <si>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</si>
  <si>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</si>
  <si>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</si>
  <si>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</si>
  <si>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</si>
  <si>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</si>
  <si>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</si>
  <si>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</si>
  <si>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</si>
  <si>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</si>
  <si>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</si>
  <si>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</si>
  <si>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</si>
  <si>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</si>
  <si>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</si>
  <si>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</si>
  <si>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</si>
  <si>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</si>
  <si>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</si>
  <si>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</si>
  <si>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</si>
  <si>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</si>
  <si>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</si>
  <si>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</si>
  <si>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</si>
  <si>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</si>
  <si>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</si>
  <si>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</si>
  <si>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</si>
  <si>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</si>
  <si>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</si>
  <si>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</si>
  <si>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</si>
  <si>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</si>
  <si>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</si>
  <si>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</si>
  <si>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</si>
  <si>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</si>
  <si>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</si>
  <si>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</si>
  <si>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</si>
  <si>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</si>
  <si>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</si>
  <si>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</si>
  <si>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</si>
  <si>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</si>
  <si>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</si>
  <si>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</si>
  <si>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</si>
  <si>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</si>
  <si>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</si>
  <si>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</si>
  <si>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</si>
  <si>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</si>
  <si>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</si>
  <si>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</si>
  <si>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</si>
  <si>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</si>
  <si>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</si>
  <si>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</si>
  <si>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</si>
  <si>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</si>
  <si>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</si>
  <si>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</si>
  <si>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</si>
  <si>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</si>
  <si>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</si>
  <si>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</si>
  <si>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</si>
  <si>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</si>
  <si>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</si>
  <si>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</si>
  <si>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</si>
  <si>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</si>
  <si>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</si>
  <si>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</si>
  <si>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</si>
  <si>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</si>
  <si>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</si>
  <si>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</si>
  <si>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</si>
  <si>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</si>
  <si>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</si>
  <si>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</si>
  <si>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</si>
  <si>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</si>
  <si>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</si>
  <si>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</si>
  <si>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</si>
  <si>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</si>
  <si>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</si>
  <si>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</si>
  <si>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</si>
  <si>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</si>
  <si>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</si>
  <si>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</si>
  <si>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</si>
  <si>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</si>
  <si>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</si>
  <si>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</si>
  <si>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</si>
  <si>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</si>
  <si>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</si>
  <si>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</si>
  <si>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</si>
  <si>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</si>
  <si>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</si>
  <si>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</si>
  <si>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</si>
  <si>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</si>
  <si>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</si>
  <si>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</si>
  <si>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</si>
  <si>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</si>
  <si>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</si>
  <si>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</si>
  <si>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</si>
  <si>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</si>
  <si>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</si>
  <si>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</si>
  <si>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</si>
  <si>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</si>
  <si>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</si>
  <si>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</si>
  <si>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</si>
  <si>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</si>
  <si>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</si>
  <si>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</si>
  <si>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</si>
  <si>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</si>
  <si>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</si>
  <si>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</si>
  <si>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</si>
  <si>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</si>
  <si>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</si>
  <si>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</si>
  <si>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</si>
  <si>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</si>
  <si>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</si>
  <si>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</si>
  <si>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</si>
  <si>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</si>
  <si>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</si>
  <si>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</si>
  <si>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</si>
  <si>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</si>
  <si>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</si>
  <si>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</si>
  <si>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</si>
  <si>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</si>
  <si>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</si>
  <si>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</si>
  <si>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</si>
  <si>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</si>
  <si>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</si>
  <si>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</si>
  <si>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</si>
  <si>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</si>
  <si>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</si>
  <si>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</si>
  <si>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</si>
  <si>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</si>
  <si>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</si>
  <si>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</si>
  <si>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</si>
  <si>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</si>
  <si>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</si>
  <si>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</si>
  <si>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</si>
  <si>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</si>
  <si>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</si>
  <si>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</si>
  <si>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</si>
  <si>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</si>
  <si>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</si>
  <si>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</si>
  <si>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</si>
  <si>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</si>
  <si>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</si>
  <si>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</si>
  <si>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</si>
  <si>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"Надання соціальних гарантій фізичним особам, які надають соціальні послуги громадянам похилого віку, особім з інвалідністю, дітям з інфвалідністю, хворим, які не здатні до самообслуговування і потребують стороннєй допомоги"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</si>
  <si>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</si>
  <si>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</si>
  <si>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</si>
  <si>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</si>
  <si>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</si>
  <si>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</si>
  <si>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</si>
  <si>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</si>
  <si>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</si>
  <si>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</si>
  <si>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</si>
  <si>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</si>
  <si>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</si>
  <si>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</si>
  <si>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</si>
  <si>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</si>
  <si>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</si>
  <si>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</si>
  <si>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</si>
  <si>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</si>
  <si>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</si>
  <si>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</si>
  <si>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</si>
  <si>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</si>
  <si>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</si>
  <si>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</si>
  <si>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</si>
  <si>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</si>
  <si>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</si>
  <si>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</si>
  <si>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</si>
  <si>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</si>
  <si>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</si>
  <si>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</si>
  <si>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</si>
  <si>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</si>
  <si>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</si>
  <si>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</si>
  <si>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0617370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</si>
  <si>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</si>
  <si>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</si>
  <si>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</si>
  <si>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</si>
  <si>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</si>
  <si>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</si>
  <si>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</si>
  <si>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0617325</t>
  </si>
  <si>
    <t>Будівництво споруд, установ та закладів фізичної культури і спорту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</si>
  <si>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</si>
  <si>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ХІ сесія 8 скликання від  18.08.2021 року № 2</t>
  </si>
  <si>
    <t>0117680</t>
  </si>
  <si>
    <t>7680</t>
  </si>
  <si>
    <t>Членські внески до асоціацій органів місцевого самоврядування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</si>
  <si>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</si>
  <si>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</si>
  <si>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0117325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</si>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</sst>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3" tint="0.3999755851924192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4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9" xfId="0" applyFont="1" applyBorder="1" applyAlignment="1" applyProtection="1">
      <alignment horizontal="center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49" fontId="5" fillId="3" borderId="33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168" fontId="5" fillId="3" borderId="43" xfId="2" applyNumberFormat="1" applyFont="1" applyFill="1" applyBorder="1" applyAlignment="1">
      <alignment horizontal="center" vertical="top" wrapText="1"/>
    </xf>
    <xf numFmtId="167" fontId="5" fillId="3" borderId="16" xfId="2" applyNumberFormat="1" applyFont="1" applyFill="1" applyBorder="1" applyAlignment="1">
      <alignment horizontal="center" vertical="top" wrapText="1"/>
    </xf>
    <xf numFmtId="1" fontId="24" fillId="3" borderId="24" xfId="0" applyNumberFormat="1" applyFont="1" applyFill="1" applyBorder="1" applyAlignment="1">
      <alignment horizontal="center" vertical="center"/>
    </xf>
    <xf numFmtId="167" fontId="5" fillId="3" borderId="33" xfId="2" applyNumberFormat="1" applyFont="1" applyFill="1" applyBorder="1" applyAlignment="1">
      <alignment horizontal="center" vertical="top" wrapText="1"/>
    </xf>
    <xf numFmtId="167" fontId="5" fillId="3" borderId="43" xfId="2" applyNumberFormat="1" applyFont="1" applyFill="1" applyBorder="1" applyAlignment="1">
      <alignment horizontal="center" vertical="top" wrapText="1"/>
    </xf>
    <xf numFmtId="1" fontId="10" fillId="3" borderId="16" xfId="0" applyNumberFormat="1" applyFont="1" applyFill="1" applyBorder="1" applyAlignment="1">
      <alignment horizontal="center" vertical="center"/>
    </xf>
    <xf numFmtId="167" fontId="5" fillId="3" borderId="24" xfId="2" applyNumberFormat="1" applyFont="1" applyFill="1" applyBorder="1" applyAlignment="1">
      <alignment horizontal="center" vertical="top" wrapText="1"/>
    </xf>
    <xf numFmtId="168" fontId="5" fillId="3" borderId="13" xfId="2" applyNumberFormat="1" applyFont="1" applyFill="1" applyBorder="1" applyAlignment="1">
      <alignment horizontal="center" vertical="top" wrapText="1"/>
    </xf>
    <xf numFmtId="49" fontId="10" fillId="3" borderId="32" xfId="0" applyNumberFormat="1" applyFont="1" applyFill="1" applyBorder="1" applyAlignment="1">
      <alignment horizontal="center" vertical="top" wrapText="1"/>
    </xf>
    <xf numFmtId="49" fontId="5" fillId="3" borderId="41" xfId="0" applyNumberFormat="1" applyFont="1" applyFill="1" applyBorder="1" applyAlignment="1">
      <alignment horizontal="center" vertical="center" wrapText="1"/>
    </xf>
    <xf numFmtId="168" fontId="5" fillId="3" borderId="32" xfId="2" applyNumberFormat="1" applyFont="1" applyFill="1" applyBorder="1" applyAlignment="1">
      <alignment horizontal="center" vertical="top" wrapText="1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 wrapText="1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 wrapText="1"/>
    </xf>
    <xf numFmtId="1" fontId="10" fillId="2" borderId="34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7" fontId="5" fillId="3" borderId="32" xfId="2" applyNumberFormat="1" applyFont="1" applyFill="1" applyBorder="1" applyAlignment="1">
      <alignment horizontal="center" vertical="top" wrapText="1"/>
    </xf>
    <xf numFmtId="0" fontId="10" fillId="2" borderId="51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left" vertical="center" wrapText="1"/>
    </xf>
    <xf numFmtId="167" fontId="10" fillId="2" borderId="28" xfId="2" applyNumberFormat="1" applyFont="1" applyFill="1" applyBorder="1" applyAlignment="1">
      <alignment horizontal="center" vertical="center" wrapText="1"/>
    </xf>
    <xf numFmtId="167" fontId="10" fillId="2" borderId="28" xfId="2" applyNumberFormat="1" applyFont="1" applyFill="1" applyBorder="1" applyAlignment="1">
      <alignment horizontal="center" vertical="center"/>
    </xf>
    <xf numFmtId="49" fontId="10" fillId="2" borderId="47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167" fontId="10" fillId="2" borderId="47" xfId="2" applyNumberFormat="1" applyFont="1" applyFill="1" applyBorder="1" applyAlignment="1">
      <alignment horizontal="center" vertical="center" wrapText="1"/>
    </xf>
    <xf numFmtId="167" fontId="10" fillId="2" borderId="42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7" xfId="0" applyNumberFormat="1" applyFont="1" applyFill="1" applyBorder="1" applyAlignment="1">
      <alignment horizontal="center" vertical="center" wrapText="1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/>
    </xf>
    <xf numFmtId="2" fontId="10" fillId="2" borderId="34" xfId="0" applyNumberFormat="1" applyFont="1" applyFill="1" applyBorder="1" applyAlignment="1">
      <alignment horizontal="center" vertical="center" wrapText="1"/>
    </xf>
    <xf numFmtId="2" fontId="10" fillId="2" borderId="28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4" xfId="0" applyNumberFormat="1" applyFont="1" applyFill="1" applyBorder="1" applyAlignment="1">
      <alignment horizontal="center" vertical="justify" wrapText="1"/>
    </xf>
    <xf numFmtId="1" fontId="10" fillId="2" borderId="21" xfId="0" applyNumberFormat="1" applyFont="1" applyFill="1" applyBorder="1" applyAlignment="1">
      <alignment horizontal="center" vertical="justify" wrapText="1"/>
    </xf>
    <xf numFmtId="168" fontId="10" fillId="2" borderId="21" xfId="2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4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7" fontId="10" fillId="2" borderId="34" xfId="2" applyNumberFormat="1" applyFont="1" applyFill="1" applyBorder="1" applyAlignment="1">
      <alignment horizontal="center" vertical="center" wrapText="1"/>
    </xf>
    <xf numFmtId="3" fontId="10" fillId="2" borderId="34" xfId="0" applyNumberFormat="1" applyFont="1" applyFill="1" applyBorder="1" applyAlignment="1">
      <alignment horizontal="center" vertical="center" wrapText="1"/>
    </xf>
    <xf numFmtId="49" fontId="10" fillId="2" borderId="45" xfId="0" applyNumberFormat="1" applyFont="1" applyFill="1" applyBorder="1" applyAlignment="1">
      <alignment horizontal="center" vertical="center" wrapText="1"/>
    </xf>
    <xf numFmtId="167" fontId="10" fillId="2" borderId="45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5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9" fontId="5" fillId="2" borderId="50" xfId="0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center"/>
    </xf>
    <xf numFmtId="167" fontId="5" fillId="2" borderId="43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3" fontId="5" fillId="2" borderId="33" xfId="1" applyNumberFormat="1" applyFont="1" applyFill="1" applyBorder="1" applyAlignment="1">
      <alignment horizontal="center" vertical="center"/>
    </xf>
    <xf numFmtId="3" fontId="5" fillId="2" borderId="43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/>
    </xf>
    <xf numFmtId="167" fontId="10" fillId="2" borderId="47" xfId="2" applyNumberFormat="1" applyFont="1" applyFill="1" applyBorder="1" applyAlignment="1">
      <alignment horizontal="center" vertical="center"/>
    </xf>
    <xf numFmtId="167" fontId="10" fillId="2" borderId="42" xfId="2" applyNumberFormat="1" applyFont="1" applyFill="1" applyBorder="1" applyAlignment="1">
      <alignment horizontal="center" vertical="center"/>
    </xf>
    <xf numFmtId="1" fontId="10" fillId="2" borderId="42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4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5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4" xfId="2" applyNumberFormat="1" applyFont="1" applyFill="1" applyBorder="1" applyAlignment="1">
      <alignment horizontal="center" vertical="center" wrapText="1"/>
    </xf>
    <xf numFmtId="167" fontId="21" fillId="2" borderId="21" xfId="2" applyNumberFormat="1" applyFont="1" applyFill="1" applyBorder="1" applyAlignment="1">
      <alignment horizontal="center" vertical="center" wrapText="1"/>
    </xf>
    <xf numFmtId="167" fontId="21" fillId="2" borderId="34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5" fillId="2" borderId="40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4" xfId="0" applyNumberFormat="1" applyFont="1" applyFill="1" applyBorder="1" applyAlignment="1">
      <alignment horizontal="center" vertical="justify" wrapText="1"/>
    </xf>
    <xf numFmtId="2" fontId="10" fillId="2" borderId="21" xfId="0" applyNumberFormat="1" applyFont="1" applyFill="1" applyBorder="1" applyAlignment="1">
      <alignment horizontal="center" vertical="justify" wrapText="1"/>
    </xf>
    <xf numFmtId="3" fontId="10" fillId="2" borderId="22" xfId="0" applyNumberFormat="1" applyFont="1" applyFill="1" applyBorder="1" applyAlignment="1">
      <alignment horizontal="center" vertical="center" wrapText="1"/>
    </xf>
    <xf numFmtId="168" fontId="10" fillId="2" borderId="34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center" wrapText="1"/>
    </xf>
    <xf numFmtId="167" fontId="5" fillId="2" borderId="43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 wrapText="1"/>
    </xf>
    <xf numFmtId="167" fontId="5" fillId="2" borderId="40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49" xfId="2" applyNumberFormat="1" applyFont="1" applyFill="1" applyBorder="1" applyAlignment="1">
      <alignment horizontal="center" vertical="center" wrapText="1"/>
    </xf>
    <xf numFmtId="167" fontId="10" fillId="2" borderId="38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38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43" xfId="0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/>
    </xf>
    <xf numFmtId="167" fontId="10" fillId="2" borderId="32" xfId="2" applyNumberFormat="1" applyFont="1" applyFill="1" applyBorder="1" applyAlignment="1">
      <alignment horizontal="center" vertical="center" wrapText="1"/>
    </xf>
    <xf numFmtId="167" fontId="10" fillId="2" borderId="40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left" vertical="center" wrapText="1"/>
    </xf>
    <xf numFmtId="3" fontId="10" fillId="2" borderId="43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43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 wrapText="1"/>
    </xf>
    <xf numFmtId="49" fontId="25" fillId="2" borderId="28" xfId="0" applyNumberFormat="1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49" fontId="5" fillId="3" borderId="54" xfId="0" applyNumberFormat="1" applyFont="1" applyFill="1" applyBorder="1" applyAlignment="1">
      <alignment horizontal="center" vertical="top" wrapText="1"/>
    </xf>
    <xf numFmtId="49" fontId="5" fillId="3" borderId="55" xfId="0" applyNumberFormat="1" applyFont="1" applyFill="1" applyBorder="1" applyAlignment="1">
      <alignment horizontal="center" vertical="top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horizontal="center" vertical="center" wrapText="1"/>
    </xf>
    <xf numFmtId="49" fontId="21" fillId="2" borderId="51" xfId="0" applyNumberFormat="1" applyFont="1" applyFill="1" applyBorder="1" applyAlignment="1">
      <alignment horizontal="center" vertical="center" wrapText="1"/>
    </xf>
    <xf numFmtId="49" fontId="10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5" fillId="2" borderId="55" xfId="0" applyNumberFormat="1" applyFont="1" applyFill="1" applyBorder="1" applyAlignment="1">
      <alignment horizontal="center" vertical="center" wrapText="1"/>
    </xf>
    <xf numFmtId="49" fontId="21" fillId="2" borderId="53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53" xfId="0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0" fontId="21" fillId="0" borderId="46" xfId="0" applyFont="1" applyFill="1" applyBorder="1"/>
    <xf numFmtId="49" fontId="21" fillId="2" borderId="57" xfId="0" applyNumberFormat="1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left" vertical="center" wrapText="1"/>
    </xf>
    <xf numFmtId="2" fontId="10" fillId="2" borderId="51" xfId="3" quotePrefix="1" applyNumberFormat="1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10" fillId="2" borderId="56" xfId="0" applyFont="1" applyFill="1" applyBorder="1" applyAlignment="1">
      <alignment horizontal="left" vertical="center" wrapText="1"/>
    </xf>
    <xf numFmtId="168" fontId="5" fillId="3" borderId="29" xfId="2" applyNumberFormat="1" applyFont="1" applyFill="1" applyBorder="1" applyAlignment="1">
      <alignment horizontal="center" vertical="top" wrapText="1"/>
    </xf>
    <xf numFmtId="167" fontId="5" fillId="2" borderId="29" xfId="2" applyNumberFormat="1" applyFont="1" applyFill="1" applyBorder="1" applyAlignment="1">
      <alignment horizontal="center" vertical="center"/>
    </xf>
    <xf numFmtId="168" fontId="5" fillId="3" borderId="46" xfId="2" applyNumberFormat="1" applyFont="1" applyFill="1" applyBorder="1" applyAlignment="1">
      <alignment horizontal="center" vertical="top" wrapText="1"/>
    </xf>
    <xf numFmtId="168" fontId="5" fillId="3" borderId="35" xfId="2" applyNumberFormat="1" applyFont="1" applyFill="1" applyBorder="1" applyAlignment="1">
      <alignment horizontal="center" vertical="top" wrapText="1"/>
    </xf>
    <xf numFmtId="167" fontId="10" fillId="2" borderId="45" xfId="2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justify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" fontId="10" fillId="2" borderId="57" xfId="0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 wrapText="1"/>
    </xf>
    <xf numFmtId="167" fontId="5" fillId="2" borderId="55" xfId="2" applyNumberFormat="1" applyFont="1" applyFill="1" applyBorder="1" applyAlignment="1">
      <alignment horizontal="center" vertical="center"/>
    </xf>
    <xf numFmtId="167" fontId="10" fillId="2" borderId="58" xfId="2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justify" wrapText="1"/>
    </xf>
    <xf numFmtId="167" fontId="10" fillId="2" borderId="57" xfId="2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58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67" fontId="21" fillId="2" borderId="28" xfId="2" applyNumberFormat="1" applyFont="1" applyFill="1" applyBorder="1" applyAlignment="1">
      <alignment horizontal="center" vertical="center"/>
    </xf>
    <xf numFmtId="1" fontId="21" fillId="2" borderId="28" xfId="0" applyNumberFormat="1" applyFont="1" applyFill="1" applyBorder="1" applyAlignment="1">
      <alignment horizontal="center" vertical="center" wrapText="1"/>
    </xf>
    <xf numFmtId="167" fontId="21" fillId="2" borderId="57" xfId="2" applyNumberFormat="1" applyFont="1" applyFill="1" applyBorder="1" applyAlignment="1">
      <alignment horizontal="center" vertical="center" wrapText="1"/>
    </xf>
    <xf numFmtId="167" fontId="21" fillId="2" borderId="23" xfId="2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/>
    </xf>
    <xf numFmtId="167" fontId="5" fillId="2" borderId="34" xfId="2" applyNumberFormat="1" applyFont="1" applyFill="1" applyBorder="1" applyAlignment="1">
      <alignment horizontal="center" vertical="center" wrapText="1"/>
    </xf>
    <xf numFmtId="168" fontId="5" fillId="2" borderId="34" xfId="2" applyNumberFormat="1" applyFont="1" applyFill="1" applyBorder="1" applyAlignment="1">
      <alignment horizontal="center" vertical="top" wrapText="1"/>
    </xf>
    <xf numFmtId="168" fontId="5" fillId="2" borderId="34" xfId="2" applyNumberFormat="1" applyFont="1" applyFill="1" applyBorder="1" applyAlignment="1">
      <alignment horizontal="center" vertical="center" wrapText="1"/>
    </xf>
    <xf numFmtId="2" fontId="5" fillId="2" borderId="34" xfId="2" applyNumberFormat="1" applyFont="1" applyFill="1" applyBorder="1" applyAlignment="1">
      <alignment horizontal="center" vertical="center" wrapText="1"/>
    </xf>
    <xf numFmtId="167" fontId="5" fillId="2" borderId="45" xfId="2" applyNumberFormat="1" applyFont="1" applyFill="1" applyBorder="1" applyAlignment="1">
      <alignment horizontal="center" vertical="center" wrapText="1"/>
    </xf>
    <xf numFmtId="167" fontId="5" fillId="2" borderId="47" xfId="2" applyNumberFormat="1" applyFont="1" applyFill="1" applyBorder="1" applyAlignment="1">
      <alignment horizontal="center" vertical="center" wrapText="1"/>
    </xf>
    <xf numFmtId="167" fontId="5" fillId="2" borderId="49" xfId="2" applyNumberFormat="1" applyFont="1" applyFill="1" applyBorder="1" applyAlignment="1">
      <alignment horizontal="center" vertical="center" wrapText="1"/>
    </xf>
    <xf numFmtId="167" fontId="5" fillId="2" borderId="34" xfId="2" applyNumberFormat="1" applyFont="1" applyFill="1" applyBorder="1" applyAlignment="1">
      <alignment horizontal="center" vertical="top" wrapText="1"/>
    </xf>
    <xf numFmtId="2" fontId="5" fillId="2" borderId="34" xfId="2" applyNumberFormat="1" applyFont="1" applyFill="1" applyBorder="1" applyAlignment="1">
      <alignment horizontal="center" vertical="top" wrapText="1"/>
    </xf>
    <xf numFmtId="167" fontId="5" fillId="2" borderId="34" xfId="2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center" wrapText="1"/>
    </xf>
    <xf numFmtId="167" fontId="10" fillId="2" borderId="49" xfId="2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center" vertical="center" wrapText="1"/>
    </xf>
    <xf numFmtId="49" fontId="5" fillId="2" borderId="60" xfId="0" applyNumberFormat="1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left" vertical="center" wrapText="1"/>
    </xf>
    <xf numFmtId="168" fontId="5" fillId="2" borderId="48" xfId="2" applyNumberFormat="1" applyFont="1" applyFill="1" applyBorder="1" applyAlignment="1">
      <alignment horizontal="center" vertical="center"/>
    </xf>
    <xf numFmtId="168" fontId="5" fillId="2" borderId="39" xfId="2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61" xfId="2" applyNumberFormat="1" applyFont="1" applyFill="1" applyBorder="1" applyAlignment="1">
      <alignment horizontal="center" vertical="center"/>
    </xf>
    <xf numFmtId="167" fontId="5" fillId="2" borderId="48" xfId="2" applyNumberFormat="1" applyFont="1" applyFill="1" applyBorder="1" applyAlignment="1">
      <alignment horizontal="center" vertical="center"/>
    </xf>
    <xf numFmtId="167" fontId="5" fillId="2" borderId="39" xfId="2" applyNumberFormat="1" applyFont="1" applyFill="1" applyBorder="1" applyAlignment="1">
      <alignment horizontal="center" vertical="center"/>
    </xf>
    <xf numFmtId="168" fontId="5" fillId="2" borderId="48" xfId="2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168" fontId="5" fillId="2" borderId="35" xfId="2" applyNumberFormat="1" applyFont="1" applyFill="1" applyBorder="1" applyAlignment="1">
      <alignment horizontal="center" vertical="center"/>
    </xf>
    <xf numFmtId="168" fontId="5" fillId="2" borderId="44" xfId="2" applyNumberFormat="1" applyFont="1" applyFill="1" applyBorder="1" applyAlignment="1">
      <alignment horizontal="center" vertical="center"/>
    </xf>
    <xf numFmtId="167" fontId="5" fillId="2" borderId="62" xfId="2" applyNumberFormat="1" applyFont="1" applyFill="1" applyBorder="1" applyAlignment="1">
      <alignment horizontal="center" vertical="center"/>
    </xf>
    <xf numFmtId="167" fontId="5" fillId="2" borderId="63" xfId="2" applyNumberFormat="1" applyFont="1" applyFill="1" applyBorder="1" applyAlignment="1">
      <alignment horizontal="center" vertical="center"/>
    </xf>
    <xf numFmtId="167" fontId="5" fillId="2" borderId="35" xfId="2" applyNumberFormat="1" applyFont="1" applyFill="1" applyBorder="1" applyAlignment="1">
      <alignment horizontal="center" vertical="center"/>
    </xf>
    <xf numFmtId="167" fontId="5" fillId="2" borderId="44" xfId="2" applyNumberFormat="1" applyFont="1" applyFill="1" applyBorder="1" applyAlignment="1">
      <alignment horizontal="center" vertical="center"/>
    </xf>
    <xf numFmtId="49" fontId="10" fillId="2" borderId="57" xfId="0" applyNumberFormat="1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2" fontId="10" fillId="2" borderId="28" xfId="3" quotePrefix="1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49" fontId="10" fillId="2" borderId="34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67" fontId="5" fillId="3" borderId="3" xfId="2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49" fontId="25" fillId="2" borderId="36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45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3" fontId="10" fillId="2" borderId="64" xfId="0" applyNumberFormat="1" applyFont="1" applyFill="1" applyBorder="1" applyAlignment="1">
      <alignment horizontal="center" vertical="center" wrapText="1"/>
    </xf>
    <xf numFmtId="3" fontId="10" fillId="2" borderId="28" xfId="0" applyNumberFormat="1" applyFont="1" applyFill="1" applyBorder="1" applyAlignment="1">
      <alignment horizontal="center" vertical="center" wrapText="1"/>
    </xf>
    <xf numFmtId="3" fontId="10" fillId="2" borderId="31" xfId="0" applyNumberFormat="1" applyFont="1" applyFill="1" applyBorder="1" applyAlignment="1">
      <alignment horizontal="center" vertical="center" wrapText="1"/>
    </xf>
    <xf numFmtId="167" fontId="10" fillId="2" borderId="36" xfId="2" applyNumberFormat="1" applyFont="1" applyFill="1" applyBorder="1" applyAlignment="1">
      <alignment horizontal="center" vertical="center"/>
    </xf>
    <xf numFmtId="168" fontId="5" fillId="3" borderId="28" xfId="2" applyNumberFormat="1" applyFont="1" applyFill="1" applyBorder="1" applyAlignment="1">
      <alignment horizontal="center" vertical="center" wrapText="1"/>
    </xf>
    <xf numFmtId="167" fontId="5" fillId="3" borderId="21" xfId="2" applyNumberFormat="1" applyFont="1" applyFill="1" applyBorder="1" applyAlignment="1">
      <alignment horizontal="center" vertical="center" wrapText="1"/>
    </xf>
    <xf numFmtId="3" fontId="10" fillId="2" borderId="33" xfId="0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2" borderId="46" xfId="2" applyNumberFormat="1" applyFont="1" applyFill="1" applyBorder="1" applyAlignment="1">
      <alignment horizontal="center" vertical="center" wrapText="1"/>
    </xf>
    <xf numFmtId="168" fontId="5" fillId="3" borderId="32" xfId="2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2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40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54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4"/>
  <sheetViews>
    <sheetView tabSelected="1" view="pageBreakPreview" topLeftCell="A124" zoomScale="75" zoomScaleNormal="100" zoomScaleSheetLayoutView="75" workbookViewId="0">
      <selection activeCell="L131" sqref="L131:M131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20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4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82" t="s">
        <v>52</v>
      </c>
      <c r="O1" s="382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83" t="s">
        <v>160</v>
      </c>
      <c r="M2" s="383"/>
      <c r="N2" s="383"/>
      <c r="O2" s="383"/>
      <c r="P2" s="383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81" t="s">
        <v>233</v>
      </c>
      <c r="L3" s="381"/>
      <c r="M3" s="381"/>
      <c r="N3" s="381"/>
      <c r="O3" s="381"/>
      <c r="P3" s="47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49"/>
      <c r="B5" s="384" t="s">
        <v>151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49"/>
      <c r="B6" s="225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 t="s">
        <v>47</v>
      </c>
    </row>
    <row r="7" spans="1:31" ht="24.75" customHeight="1" thickBot="1" x14ac:dyDescent="0.25">
      <c r="A7" s="372" t="s">
        <v>41</v>
      </c>
      <c r="B7" s="375" t="s">
        <v>42</v>
      </c>
      <c r="C7" s="378" t="s">
        <v>43</v>
      </c>
      <c r="D7" s="375" t="s">
        <v>54</v>
      </c>
      <c r="E7" s="360" t="s">
        <v>12</v>
      </c>
      <c r="F7" s="361"/>
      <c r="G7" s="361"/>
      <c r="H7" s="361"/>
      <c r="I7" s="362"/>
      <c r="J7" s="360" t="s">
        <v>13</v>
      </c>
      <c r="K7" s="361"/>
      <c r="L7" s="361"/>
      <c r="M7" s="361"/>
      <c r="N7" s="361"/>
      <c r="O7" s="362"/>
      <c r="P7" s="347" t="s">
        <v>2</v>
      </c>
    </row>
    <row r="8" spans="1:31" ht="14.25" customHeight="1" x14ac:dyDescent="0.3">
      <c r="A8" s="373"/>
      <c r="B8" s="376"/>
      <c r="C8" s="379"/>
      <c r="D8" s="376"/>
      <c r="E8" s="368" t="s">
        <v>44</v>
      </c>
      <c r="F8" s="350" t="s">
        <v>3</v>
      </c>
      <c r="G8" s="353" t="s">
        <v>53</v>
      </c>
      <c r="H8" s="353"/>
      <c r="I8" s="363" t="s">
        <v>4</v>
      </c>
      <c r="J8" s="354" t="s">
        <v>44</v>
      </c>
      <c r="K8" s="357" t="s">
        <v>45</v>
      </c>
      <c r="L8" s="387" t="s">
        <v>3</v>
      </c>
      <c r="M8" s="390" t="s">
        <v>46</v>
      </c>
      <c r="N8" s="390"/>
      <c r="O8" s="391" t="s">
        <v>4</v>
      </c>
      <c r="P8" s="348"/>
    </row>
    <row r="9" spans="1:31" ht="14.25" customHeight="1" x14ac:dyDescent="0.2">
      <c r="A9" s="373"/>
      <c r="B9" s="376"/>
      <c r="C9" s="379"/>
      <c r="D9" s="376"/>
      <c r="E9" s="369"/>
      <c r="F9" s="351"/>
      <c r="G9" s="366" t="s">
        <v>0</v>
      </c>
      <c r="H9" s="366" t="s">
        <v>1</v>
      </c>
      <c r="I9" s="364"/>
      <c r="J9" s="355"/>
      <c r="K9" s="358"/>
      <c r="L9" s="388"/>
      <c r="M9" s="385" t="s">
        <v>0</v>
      </c>
      <c r="N9" s="394" t="s">
        <v>1</v>
      </c>
      <c r="O9" s="392"/>
      <c r="P9" s="349"/>
    </row>
    <row r="10" spans="1:31" ht="150.75" customHeight="1" thickBot="1" x14ac:dyDescent="0.25">
      <c r="A10" s="374"/>
      <c r="B10" s="377"/>
      <c r="C10" s="380"/>
      <c r="D10" s="377"/>
      <c r="E10" s="370"/>
      <c r="F10" s="352"/>
      <c r="G10" s="367"/>
      <c r="H10" s="367"/>
      <c r="I10" s="365"/>
      <c r="J10" s="356"/>
      <c r="K10" s="359"/>
      <c r="L10" s="389"/>
      <c r="M10" s="386"/>
      <c r="N10" s="395"/>
      <c r="O10" s="393"/>
      <c r="P10" s="349"/>
    </row>
    <row r="11" spans="1:31" ht="17.25" customHeight="1" thickBot="1" x14ac:dyDescent="0.35">
      <c r="A11" s="211">
        <v>1</v>
      </c>
      <c r="B11" s="53">
        <v>2</v>
      </c>
      <c r="C11" s="54">
        <v>3</v>
      </c>
      <c r="D11" s="52">
        <v>4</v>
      </c>
      <c r="E11" s="55">
        <v>5</v>
      </c>
      <c r="F11" s="56">
        <v>6</v>
      </c>
      <c r="G11" s="57">
        <v>7</v>
      </c>
      <c r="H11" s="57">
        <v>8</v>
      </c>
      <c r="I11" s="58">
        <v>9</v>
      </c>
      <c r="J11" s="52">
        <v>10</v>
      </c>
      <c r="K11" s="59">
        <v>11</v>
      </c>
      <c r="L11" s="60">
        <v>12</v>
      </c>
      <c r="M11" s="60">
        <v>13</v>
      </c>
      <c r="N11" s="60">
        <v>14</v>
      </c>
      <c r="O11" s="61">
        <v>15</v>
      </c>
      <c r="P11" s="62" t="s">
        <v>6</v>
      </c>
    </row>
    <row r="12" spans="1:31" ht="27" customHeight="1" thickBot="1" x14ac:dyDescent="0.25">
      <c r="A12" s="212" t="s">
        <v>50</v>
      </c>
      <c r="B12" s="63"/>
      <c r="C12" s="64"/>
      <c r="D12" s="65" t="s">
        <v>94</v>
      </c>
      <c r="E12" s="235">
        <f>E13</f>
        <v>21809480.73</v>
      </c>
      <c r="F12" s="66">
        <f t="shared" ref="F12:P12" si="0">F13</f>
        <v>21809480.73</v>
      </c>
      <c r="G12" s="67">
        <f t="shared" si="0"/>
        <v>6455584</v>
      </c>
      <c r="H12" s="67">
        <f t="shared" si="0"/>
        <v>828035</v>
      </c>
      <c r="I12" s="68">
        <v>0</v>
      </c>
      <c r="J12" s="69">
        <f t="shared" si="0"/>
        <v>8545529</v>
      </c>
      <c r="K12" s="70">
        <f t="shared" si="0"/>
        <v>8505529</v>
      </c>
      <c r="L12" s="67">
        <f t="shared" si="0"/>
        <v>40000</v>
      </c>
      <c r="M12" s="71">
        <v>0</v>
      </c>
      <c r="N12" s="71">
        <v>0</v>
      </c>
      <c r="O12" s="72">
        <f t="shared" si="0"/>
        <v>8505529</v>
      </c>
      <c r="P12" s="73">
        <f t="shared" si="0"/>
        <v>30355009.73</v>
      </c>
      <c r="Q12" s="48"/>
    </row>
    <row r="13" spans="1:31" ht="26.25" customHeight="1" thickBot="1" x14ac:dyDescent="0.25">
      <c r="A13" s="213" t="s">
        <v>14</v>
      </c>
      <c r="B13" s="74"/>
      <c r="C13" s="75"/>
      <c r="D13" s="228" t="s">
        <v>94</v>
      </c>
      <c r="E13" s="236">
        <f>E14+E15+E22+E32+E37+E38+E39+E40+E44+E47+E48+E49+E55+E59+E60+E50+E27+E51+E58</f>
        <v>21809480.73</v>
      </c>
      <c r="F13" s="233">
        <f>F14+F15+F22+F32+F37+F38+F39+F40+F44+F47+F48+F49+F55+F59+F60+F50+F27+F51+F58</f>
        <v>21809480.73</v>
      </c>
      <c r="G13" s="99">
        <f>G14+G15+G22+G32+G37+G38+G39+G40+G44+G47+G48+G49+G55+G59+G60+G50+G27+G51</f>
        <v>6455584</v>
      </c>
      <c r="H13" s="99">
        <f>H14+H15+H22+H32+H37+H38+H39+H40+H44+H47+H48+H49+H55+H59+H60+H50+H27+H51</f>
        <v>828035</v>
      </c>
      <c r="I13" s="99">
        <f>I14+I15+I22+I32+I37+I38+I39+I40+I44+I47+I48+I49+I55+I59+I60+I50+I27+I51</f>
        <v>0</v>
      </c>
      <c r="J13" s="99">
        <f>J14+J15+J22+J27+J32+J37+J38+J39+J40+J44+J47+J48+J49+J50+J51+J53+J54+J55+J57+J59+J60+J56+J52</f>
        <v>8545529</v>
      </c>
      <c r="K13" s="99">
        <f>K14+K15+K22+K27+K32+K37+K38+K39+K40+K44+K47+K48+K49+K50+K51+K53+K54+K55+K57+K59+K60+K56+K52</f>
        <v>8505529</v>
      </c>
      <c r="L13" s="99">
        <f>L14+L15+L22+L32+L37+L38+L39+L40+L44+L47+L48+L49+L55+L59+L60+L50+L27+L51</f>
        <v>40000</v>
      </c>
      <c r="M13" s="99">
        <f>M14+M15+M22+M32+M37+M38+M39+M40+M44+M47+M48+M49+M55+M59+M60+M50+M27+M51</f>
        <v>0</v>
      </c>
      <c r="N13" s="99">
        <f>N14+N15+N22+N32+N37+N38+N39+N40+N44+N47+N48+N49+N55+N59+N60+N50+N27+N51</f>
        <v>0</v>
      </c>
      <c r="O13" s="99">
        <f>O14+O15+O22+O27+O32+O37+O38+O39+O40+O44+O47+O48+O49+O50+O51+O53+O54+O55+O57+O59+O60+O56+O52</f>
        <v>8505529</v>
      </c>
      <c r="P13" s="76">
        <f>P14+P15+P22+P27+P32+P37+P38+P39+P40+P44+P47+P48+P49+P50+P51+P53+P54+P55+P57+P59+P60+P56+P52+P58</f>
        <v>30355009.73</v>
      </c>
      <c r="Q13" s="48"/>
    </row>
    <row r="14" spans="1:31" ht="103.5" customHeight="1" x14ac:dyDescent="0.2">
      <c r="A14" s="214" t="s">
        <v>21</v>
      </c>
      <c r="B14" s="296" t="s">
        <v>22</v>
      </c>
      <c r="C14" s="296" t="s">
        <v>5</v>
      </c>
      <c r="D14" s="272" t="s">
        <v>18</v>
      </c>
      <c r="E14" s="106">
        <f>F14</f>
        <v>8505614</v>
      </c>
      <c r="F14" s="107">
        <f>8171942+101052+125642+89475+17503</f>
        <v>8505614</v>
      </c>
      <c r="G14" s="108">
        <f>6233226-13403</f>
        <v>6219823</v>
      </c>
      <c r="H14" s="108">
        <f>180500+13403+1457+228</f>
        <v>195588</v>
      </c>
      <c r="I14" s="238"/>
      <c r="J14" s="203">
        <f>K14+N14</f>
        <v>183200</v>
      </c>
      <c r="K14" s="110">
        <f>84000+99200</f>
        <v>183200</v>
      </c>
      <c r="L14" s="111"/>
      <c r="M14" s="111"/>
      <c r="N14" s="111"/>
      <c r="O14" s="254">
        <f>84000+99200</f>
        <v>183200</v>
      </c>
      <c r="P14" s="179">
        <f>E14+J14</f>
        <v>8688814</v>
      </c>
      <c r="Q14" s="48"/>
      <c r="R14" s="48"/>
    </row>
    <row r="15" spans="1:31" ht="42" customHeight="1" x14ac:dyDescent="0.2">
      <c r="A15" s="215" t="s">
        <v>110</v>
      </c>
      <c r="B15" s="112" t="s">
        <v>11</v>
      </c>
      <c r="C15" s="112" t="s">
        <v>111</v>
      </c>
      <c r="D15" s="298" t="s">
        <v>208</v>
      </c>
      <c r="E15" s="106">
        <f>F15</f>
        <v>351309</v>
      </c>
      <c r="F15" s="80">
        <f>20000+331309</f>
        <v>351309</v>
      </c>
      <c r="G15" s="114">
        <v>235761</v>
      </c>
      <c r="H15" s="114">
        <v>12821</v>
      </c>
      <c r="I15" s="118"/>
      <c r="J15" s="84"/>
      <c r="K15" s="115"/>
      <c r="L15" s="114"/>
      <c r="M15" s="114"/>
      <c r="N15" s="114"/>
      <c r="O15" s="207"/>
      <c r="P15" s="262">
        <f t="shared" ref="P15:P89" si="1">E15+J15</f>
        <v>351309</v>
      </c>
      <c r="Q15" s="48"/>
      <c r="R15" s="7"/>
      <c r="S15" s="7"/>
      <c r="T15" s="7"/>
    </row>
    <row r="16" spans="1:31" ht="54.75" hidden="1" customHeight="1" x14ac:dyDescent="0.2">
      <c r="A16" s="215" t="s">
        <v>121</v>
      </c>
      <c r="B16" s="112" t="s">
        <v>122</v>
      </c>
      <c r="C16" s="112" t="s">
        <v>123</v>
      </c>
      <c r="D16" s="298" t="s">
        <v>124</v>
      </c>
      <c r="E16" s="106">
        <f t="shared" ref="E16:E21" si="2">F16</f>
        <v>0</v>
      </c>
      <c r="F16" s="80"/>
      <c r="G16" s="116"/>
      <c r="H16" s="116"/>
      <c r="I16" s="118"/>
      <c r="J16" s="84"/>
      <c r="K16" s="115"/>
      <c r="L16" s="114"/>
      <c r="M16" s="114"/>
      <c r="N16" s="114"/>
      <c r="O16" s="207"/>
      <c r="P16" s="262">
        <f t="shared" si="1"/>
        <v>0</v>
      </c>
      <c r="Q16" s="48"/>
      <c r="R16" s="7"/>
      <c r="S16" s="7"/>
      <c r="T16" s="7"/>
    </row>
    <row r="17" spans="1:20" ht="49.5" customHeight="1" x14ac:dyDescent="0.2">
      <c r="A17" s="215"/>
      <c r="B17" s="112"/>
      <c r="C17" s="112"/>
      <c r="D17" s="298" t="s">
        <v>143</v>
      </c>
      <c r="E17" s="106">
        <f t="shared" si="2"/>
        <v>72798</v>
      </c>
      <c r="F17" s="102">
        <f>20000+52798</f>
        <v>72798</v>
      </c>
      <c r="G17" s="114">
        <v>34196</v>
      </c>
      <c r="H17" s="114">
        <v>1895</v>
      </c>
      <c r="I17" s="118"/>
      <c r="J17" s="84"/>
      <c r="K17" s="117"/>
      <c r="L17" s="114"/>
      <c r="M17" s="114"/>
      <c r="N17" s="114"/>
      <c r="O17" s="207"/>
      <c r="P17" s="262"/>
      <c r="Q17" s="48"/>
      <c r="R17" s="7"/>
      <c r="S17" s="7"/>
      <c r="T17" s="7"/>
    </row>
    <row r="18" spans="1:20" ht="45.75" customHeight="1" x14ac:dyDescent="0.2">
      <c r="A18" s="215"/>
      <c r="B18" s="112"/>
      <c r="C18" s="112"/>
      <c r="D18" s="298" t="s">
        <v>156</v>
      </c>
      <c r="E18" s="106">
        <f t="shared" si="2"/>
        <v>66343</v>
      </c>
      <c r="F18" s="102">
        <v>66343</v>
      </c>
      <c r="G18" s="114">
        <v>52730</v>
      </c>
      <c r="H18" s="114">
        <v>2013</v>
      </c>
      <c r="I18" s="118"/>
      <c r="J18" s="84"/>
      <c r="K18" s="117"/>
      <c r="L18" s="114"/>
      <c r="M18" s="114"/>
      <c r="N18" s="114"/>
      <c r="O18" s="207"/>
      <c r="P18" s="262"/>
      <c r="Q18" s="48"/>
      <c r="R18" s="7"/>
      <c r="S18" s="7"/>
      <c r="T18" s="7"/>
    </row>
    <row r="19" spans="1:20" ht="45.75" customHeight="1" x14ac:dyDescent="0.2">
      <c r="A19" s="215"/>
      <c r="B19" s="112"/>
      <c r="C19" s="112"/>
      <c r="D19" s="298" t="s">
        <v>145</v>
      </c>
      <c r="E19" s="106">
        <f t="shared" si="2"/>
        <v>90894</v>
      </c>
      <c r="F19" s="102">
        <v>90894</v>
      </c>
      <c r="G19" s="114">
        <v>68289</v>
      </c>
      <c r="H19" s="114">
        <v>4561</v>
      </c>
      <c r="I19" s="118"/>
      <c r="J19" s="84"/>
      <c r="K19" s="117"/>
      <c r="L19" s="114"/>
      <c r="M19" s="114"/>
      <c r="N19" s="114"/>
      <c r="O19" s="207"/>
      <c r="P19" s="262"/>
      <c r="Q19" s="48"/>
      <c r="R19" s="7"/>
      <c r="S19" s="7"/>
      <c r="T19" s="7"/>
    </row>
    <row r="20" spans="1:20" ht="48" customHeight="1" x14ac:dyDescent="0.2">
      <c r="A20" s="215"/>
      <c r="B20" s="112"/>
      <c r="C20" s="112"/>
      <c r="D20" s="298" t="s">
        <v>146</v>
      </c>
      <c r="E20" s="106">
        <f t="shared" si="2"/>
        <v>63380</v>
      </c>
      <c r="F20" s="102">
        <v>63380</v>
      </c>
      <c r="G20" s="114">
        <v>43050</v>
      </c>
      <c r="H20" s="114">
        <v>2274</v>
      </c>
      <c r="I20" s="118"/>
      <c r="J20" s="84"/>
      <c r="K20" s="117"/>
      <c r="L20" s="114"/>
      <c r="M20" s="114"/>
      <c r="N20" s="114"/>
      <c r="O20" s="207"/>
      <c r="P20" s="262"/>
      <c r="Q20" s="48"/>
      <c r="R20" s="7"/>
      <c r="S20" s="7"/>
      <c r="T20" s="7"/>
    </row>
    <row r="21" spans="1:20" ht="43.5" customHeight="1" x14ac:dyDescent="0.2">
      <c r="A21" s="215"/>
      <c r="B21" s="112"/>
      <c r="C21" s="112"/>
      <c r="D21" s="298" t="s">
        <v>207</v>
      </c>
      <c r="E21" s="106">
        <f t="shared" si="2"/>
        <v>57894</v>
      </c>
      <c r="F21" s="102">
        <v>57894</v>
      </c>
      <c r="G21" s="114">
        <v>37496</v>
      </c>
      <c r="H21" s="114">
        <v>2078</v>
      </c>
      <c r="I21" s="118"/>
      <c r="J21" s="84"/>
      <c r="K21" s="117"/>
      <c r="L21" s="114"/>
      <c r="M21" s="114"/>
      <c r="N21" s="114"/>
      <c r="O21" s="207"/>
      <c r="P21" s="262"/>
      <c r="Q21" s="48"/>
      <c r="R21" s="7"/>
      <c r="S21" s="7"/>
      <c r="T21" s="7"/>
    </row>
    <row r="22" spans="1:20" ht="66.75" customHeight="1" x14ac:dyDescent="0.2">
      <c r="A22" s="215" t="s">
        <v>97</v>
      </c>
      <c r="B22" s="112" t="s">
        <v>99</v>
      </c>
      <c r="C22" s="112" t="s">
        <v>98</v>
      </c>
      <c r="D22" s="298" t="s">
        <v>202</v>
      </c>
      <c r="E22" s="84">
        <f>F22</f>
        <v>6150379</v>
      </c>
      <c r="F22" s="118">
        <f>F23+F24+F25+F26</f>
        <v>6150379</v>
      </c>
      <c r="G22" s="116">
        <f t="shared" ref="G22:I22" si="3">G23+G24+G25+G26</f>
        <v>0</v>
      </c>
      <c r="H22" s="116">
        <f t="shared" si="3"/>
        <v>0</v>
      </c>
      <c r="I22" s="239">
        <f t="shared" si="3"/>
        <v>0</v>
      </c>
      <c r="J22" s="207">
        <f>J24+J23</f>
        <v>24000</v>
      </c>
      <c r="K22" s="207">
        <f>K24+K23</f>
        <v>24000</v>
      </c>
      <c r="L22" s="114">
        <f t="shared" ref="L22:N22" si="4">L24</f>
        <v>0</v>
      </c>
      <c r="M22" s="114">
        <f t="shared" si="4"/>
        <v>0</v>
      </c>
      <c r="N22" s="114">
        <f t="shared" si="4"/>
        <v>0</v>
      </c>
      <c r="O22" s="207">
        <f>O24+O23</f>
        <v>24000</v>
      </c>
      <c r="P22" s="262">
        <f>E22+J22</f>
        <v>6174379</v>
      </c>
      <c r="Q22" s="48"/>
      <c r="R22" s="7"/>
      <c r="S22" s="7"/>
      <c r="T22" s="7"/>
    </row>
    <row r="23" spans="1:20" ht="45" customHeight="1" x14ac:dyDescent="0.2">
      <c r="A23" s="216"/>
      <c r="B23" s="119"/>
      <c r="C23" s="119"/>
      <c r="D23" s="298" t="s">
        <v>143</v>
      </c>
      <c r="E23" s="84">
        <f t="shared" ref="E23:E36" si="5">F23</f>
        <v>863463</v>
      </c>
      <c r="F23" s="121">
        <f>697495+27000+26280+57388+55300</f>
        <v>863463</v>
      </c>
      <c r="G23" s="116"/>
      <c r="H23" s="116"/>
      <c r="I23" s="207"/>
      <c r="J23" s="84">
        <f>L23+O23</f>
        <v>0</v>
      </c>
      <c r="K23" s="115">
        <f>O23</f>
        <v>0</v>
      </c>
      <c r="L23" s="114"/>
      <c r="M23" s="114"/>
      <c r="N23" s="114"/>
      <c r="O23" s="207">
        <f>55300-55300</f>
        <v>0</v>
      </c>
      <c r="P23" s="134">
        <f t="shared" si="1"/>
        <v>863463</v>
      </c>
      <c r="Q23" s="48"/>
      <c r="R23" s="7"/>
      <c r="S23" s="7"/>
      <c r="T23" s="7"/>
    </row>
    <row r="24" spans="1:20" ht="44.25" customHeight="1" x14ac:dyDescent="0.2">
      <c r="A24" s="216"/>
      <c r="B24" s="119"/>
      <c r="C24" s="119"/>
      <c r="D24" s="298" t="s">
        <v>144</v>
      </c>
      <c r="E24" s="84">
        <f t="shared" si="5"/>
        <v>1244841</v>
      </c>
      <c r="F24" s="121">
        <f>991537+253304</f>
        <v>1244841</v>
      </c>
      <c r="G24" s="116"/>
      <c r="H24" s="116"/>
      <c r="I24" s="207"/>
      <c r="J24" s="84">
        <v>24000</v>
      </c>
      <c r="K24" s="115">
        <v>24000</v>
      </c>
      <c r="L24" s="114"/>
      <c r="M24" s="114"/>
      <c r="N24" s="114"/>
      <c r="O24" s="207">
        <v>24000</v>
      </c>
      <c r="P24" s="134">
        <f>E24+J24</f>
        <v>1268841</v>
      </c>
      <c r="Q24" s="48"/>
      <c r="R24" s="7"/>
      <c r="S24" s="7"/>
      <c r="T24" s="7"/>
    </row>
    <row r="25" spans="1:20" ht="48" customHeight="1" x14ac:dyDescent="0.2">
      <c r="A25" s="216"/>
      <c r="B25" s="119"/>
      <c r="C25" s="119"/>
      <c r="D25" s="298" t="s">
        <v>145</v>
      </c>
      <c r="E25" s="84">
        <f t="shared" si="5"/>
        <v>2378668</v>
      </c>
      <c r="F25" s="121">
        <f>1514225+868276-3833</f>
        <v>2378668</v>
      </c>
      <c r="G25" s="116"/>
      <c r="H25" s="116"/>
      <c r="I25" s="207"/>
      <c r="J25" s="84"/>
      <c r="K25" s="115"/>
      <c r="L25" s="114"/>
      <c r="M25" s="114"/>
      <c r="N25" s="114"/>
      <c r="O25" s="207"/>
      <c r="P25" s="134">
        <f t="shared" si="1"/>
        <v>2378668</v>
      </c>
      <c r="Q25" s="48"/>
      <c r="R25" s="7"/>
      <c r="S25" s="7"/>
      <c r="T25" s="7"/>
    </row>
    <row r="26" spans="1:20" ht="44.25" customHeight="1" x14ac:dyDescent="0.2">
      <c r="A26" s="216"/>
      <c r="B26" s="119"/>
      <c r="C26" s="119"/>
      <c r="D26" s="298" t="s">
        <v>146</v>
      </c>
      <c r="E26" s="84">
        <f t="shared" si="5"/>
        <v>1663407</v>
      </c>
      <c r="F26" s="121">
        <f>1675107-11700</f>
        <v>1663407</v>
      </c>
      <c r="G26" s="116"/>
      <c r="H26" s="116"/>
      <c r="I26" s="207"/>
      <c r="J26" s="84"/>
      <c r="K26" s="115"/>
      <c r="L26" s="114"/>
      <c r="M26" s="114"/>
      <c r="N26" s="114"/>
      <c r="O26" s="207"/>
      <c r="P26" s="134">
        <f t="shared" si="1"/>
        <v>1663407</v>
      </c>
      <c r="Q26" s="48"/>
      <c r="R26" s="7"/>
      <c r="S26" s="7"/>
      <c r="T26" s="7"/>
    </row>
    <row r="27" spans="1:20" ht="42.75" customHeight="1" x14ac:dyDescent="0.2">
      <c r="A27" s="215" t="s">
        <v>167</v>
      </c>
      <c r="B27" s="112" t="s">
        <v>168</v>
      </c>
      <c r="C27" s="112" t="s">
        <v>103</v>
      </c>
      <c r="D27" s="298" t="s">
        <v>169</v>
      </c>
      <c r="E27" s="84">
        <f t="shared" si="5"/>
        <v>104921</v>
      </c>
      <c r="F27" s="121">
        <f>F28+F29+F30+F31</f>
        <v>104921</v>
      </c>
      <c r="G27" s="116"/>
      <c r="H27" s="116"/>
      <c r="I27" s="207"/>
      <c r="J27" s="84"/>
      <c r="K27" s="115"/>
      <c r="L27" s="114"/>
      <c r="M27" s="114"/>
      <c r="N27" s="114"/>
      <c r="O27" s="207"/>
      <c r="P27" s="262">
        <f t="shared" si="1"/>
        <v>104921</v>
      </c>
      <c r="Q27" s="48"/>
      <c r="R27" s="7"/>
      <c r="S27" s="7"/>
      <c r="T27" s="7"/>
    </row>
    <row r="28" spans="1:20" ht="42.75" customHeight="1" x14ac:dyDescent="0.2">
      <c r="A28" s="215"/>
      <c r="B28" s="112"/>
      <c r="C28" s="112"/>
      <c r="D28" s="298" t="s">
        <v>143</v>
      </c>
      <c r="E28" s="84">
        <f t="shared" si="5"/>
        <v>25740</v>
      </c>
      <c r="F28" s="121">
        <v>25740</v>
      </c>
      <c r="G28" s="116"/>
      <c r="H28" s="116"/>
      <c r="I28" s="207"/>
      <c r="J28" s="84"/>
      <c r="K28" s="115"/>
      <c r="L28" s="114"/>
      <c r="M28" s="114"/>
      <c r="N28" s="114"/>
      <c r="O28" s="207"/>
      <c r="P28" s="134">
        <f t="shared" si="1"/>
        <v>25740</v>
      </c>
      <c r="Q28" s="48"/>
      <c r="R28" s="7"/>
      <c r="S28" s="7"/>
      <c r="T28" s="7"/>
    </row>
    <row r="29" spans="1:20" ht="42.75" customHeight="1" x14ac:dyDescent="0.2">
      <c r="A29" s="215"/>
      <c r="B29" s="112"/>
      <c r="C29" s="112"/>
      <c r="D29" s="298" t="s">
        <v>145</v>
      </c>
      <c r="E29" s="84">
        <f t="shared" si="5"/>
        <v>13661</v>
      </c>
      <c r="F29" s="121">
        <v>13661</v>
      </c>
      <c r="G29" s="116"/>
      <c r="H29" s="116"/>
      <c r="I29" s="207"/>
      <c r="J29" s="84"/>
      <c r="K29" s="115"/>
      <c r="L29" s="114"/>
      <c r="M29" s="114"/>
      <c r="N29" s="114"/>
      <c r="O29" s="207"/>
      <c r="P29" s="134">
        <f t="shared" si="1"/>
        <v>13661</v>
      </c>
      <c r="Q29" s="48"/>
      <c r="R29" s="7"/>
      <c r="S29" s="7"/>
      <c r="T29" s="7"/>
    </row>
    <row r="30" spans="1:20" ht="42.75" customHeight="1" x14ac:dyDescent="0.2">
      <c r="A30" s="215"/>
      <c r="B30" s="112"/>
      <c r="C30" s="112"/>
      <c r="D30" s="298" t="s">
        <v>156</v>
      </c>
      <c r="E30" s="84">
        <f t="shared" si="5"/>
        <v>53820</v>
      </c>
      <c r="F30" s="121">
        <v>53820</v>
      </c>
      <c r="G30" s="116"/>
      <c r="H30" s="116"/>
      <c r="I30" s="207"/>
      <c r="J30" s="84"/>
      <c r="K30" s="115"/>
      <c r="L30" s="114"/>
      <c r="M30" s="114"/>
      <c r="N30" s="114"/>
      <c r="O30" s="207"/>
      <c r="P30" s="134">
        <f t="shared" si="1"/>
        <v>53820</v>
      </c>
      <c r="Q30" s="48"/>
      <c r="R30" s="7"/>
      <c r="S30" s="7"/>
      <c r="T30" s="7"/>
    </row>
    <row r="31" spans="1:20" ht="42.75" customHeight="1" x14ac:dyDescent="0.2">
      <c r="A31" s="215"/>
      <c r="B31" s="112"/>
      <c r="C31" s="112"/>
      <c r="D31" s="298" t="s">
        <v>146</v>
      </c>
      <c r="E31" s="84">
        <f t="shared" si="5"/>
        <v>11700</v>
      </c>
      <c r="F31" s="121">
        <v>11700</v>
      </c>
      <c r="G31" s="116"/>
      <c r="H31" s="116"/>
      <c r="I31" s="207"/>
      <c r="J31" s="84"/>
      <c r="K31" s="115"/>
      <c r="L31" s="114"/>
      <c r="M31" s="114"/>
      <c r="N31" s="114"/>
      <c r="O31" s="207"/>
      <c r="P31" s="134">
        <f t="shared" si="1"/>
        <v>11700</v>
      </c>
      <c r="Q31" s="48"/>
      <c r="R31" s="7"/>
      <c r="S31" s="7"/>
      <c r="T31" s="7"/>
    </row>
    <row r="32" spans="1:20" ht="44.25" customHeight="1" x14ac:dyDescent="0.2">
      <c r="A32" s="215" t="s">
        <v>102</v>
      </c>
      <c r="B32" s="112" t="s">
        <v>104</v>
      </c>
      <c r="C32" s="112" t="s">
        <v>103</v>
      </c>
      <c r="D32" s="298" t="s">
        <v>157</v>
      </c>
      <c r="E32" s="84">
        <f t="shared" si="5"/>
        <v>907800</v>
      </c>
      <c r="F32" s="121">
        <f>F33+F34+F35+F36</f>
        <v>907800</v>
      </c>
      <c r="G32" s="116"/>
      <c r="H32" s="116"/>
      <c r="I32" s="240"/>
      <c r="J32" s="122"/>
      <c r="K32" s="123"/>
      <c r="L32" s="116"/>
      <c r="M32" s="116"/>
      <c r="N32" s="116"/>
      <c r="O32" s="240"/>
      <c r="P32" s="262">
        <f t="shared" si="1"/>
        <v>907800</v>
      </c>
      <c r="Q32" s="48"/>
      <c r="R32" s="7"/>
      <c r="S32" s="7"/>
      <c r="T32" s="7"/>
    </row>
    <row r="33" spans="1:20" ht="40.5" customHeight="1" x14ac:dyDescent="0.2">
      <c r="A33" s="215"/>
      <c r="B33" s="112"/>
      <c r="C33" s="112"/>
      <c r="D33" s="298" t="s">
        <v>143</v>
      </c>
      <c r="E33" s="84">
        <f t="shared" si="5"/>
        <v>140900</v>
      </c>
      <c r="F33" s="121">
        <v>140900</v>
      </c>
      <c r="G33" s="116"/>
      <c r="H33" s="116"/>
      <c r="I33" s="207"/>
      <c r="J33" s="84"/>
      <c r="K33" s="115"/>
      <c r="L33" s="114"/>
      <c r="M33" s="114"/>
      <c r="N33" s="114"/>
      <c r="O33" s="207"/>
      <c r="P33" s="134">
        <f t="shared" si="1"/>
        <v>140900</v>
      </c>
      <c r="Q33" s="48"/>
      <c r="R33" s="7"/>
      <c r="S33" s="7"/>
      <c r="T33" s="7"/>
    </row>
    <row r="34" spans="1:20" ht="44.25" customHeight="1" x14ac:dyDescent="0.2">
      <c r="A34" s="216"/>
      <c r="B34" s="119"/>
      <c r="C34" s="119"/>
      <c r="D34" s="298" t="s">
        <v>156</v>
      </c>
      <c r="E34" s="84">
        <f t="shared" si="5"/>
        <v>280000</v>
      </c>
      <c r="F34" s="121">
        <f>130000+150000</f>
        <v>280000</v>
      </c>
      <c r="G34" s="116"/>
      <c r="H34" s="116"/>
      <c r="I34" s="207"/>
      <c r="J34" s="84"/>
      <c r="K34" s="115"/>
      <c r="L34" s="114"/>
      <c r="M34" s="114"/>
      <c r="N34" s="114"/>
      <c r="O34" s="207"/>
      <c r="P34" s="134">
        <f t="shared" si="1"/>
        <v>280000</v>
      </c>
      <c r="Q34" s="48"/>
      <c r="R34" s="7"/>
      <c r="S34" s="7"/>
      <c r="T34" s="7"/>
    </row>
    <row r="35" spans="1:20" ht="39.75" customHeight="1" x14ac:dyDescent="0.2">
      <c r="A35" s="216"/>
      <c r="B35" s="119"/>
      <c r="C35" s="119"/>
      <c r="D35" s="298" t="s">
        <v>145</v>
      </c>
      <c r="E35" s="84">
        <f t="shared" si="5"/>
        <v>380000</v>
      </c>
      <c r="F35" s="121">
        <f>330000+50000</f>
        <v>380000</v>
      </c>
      <c r="G35" s="116"/>
      <c r="H35" s="116"/>
      <c r="I35" s="207"/>
      <c r="J35" s="84"/>
      <c r="K35" s="115"/>
      <c r="L35" s="114"/>
      <c r="M35" s="114"/>
      <c r="N35" s="114"/>
      <c r="O35" s="207"/>
      <c r="P35" s="134">
        <f t="shared" si="1"/>
        <v>380000</v>
      </c>
      <c r="Q35" s="48"/>
      <c r="R35" s="7"/>
      <c r="S35" s="7"/>
      <c r="T35" s="7"/>
    </row>
    <row r="36" spans="1:20" ht="45.75" customHeight="1" x14ac:dyDescent="0.2">
      <c r="A36" s="216"/>
      <c r="B36" s="119"/>
      <c r="C36" s="119"/>
      <c r="D36" s="298" t="s">
        <v>146</v>
      </c>
      <c r="E36" s="84">
        <f t="shared" si="5"/>
        <v>106900</v>
      </c>
      <c r="F36" s="121">
        <v>106900</v>
      </c>
      <c r="G36" s="116"/>
      <c r="H36" s="116"/>
      <c r="I36" s="207"/>
      <c r="J36" s="84"/>
      <c r="K36" s="115"/>
      <c r="L36" s="114"/>
      <c r="M36" s="114"/>
      <c r="N36" s="114"/>
      <c r="O36" s="207"/>
      <c r="P36" s="134">
        <f t="shared" si="1"/>
        <v>106900</v>
      </c>
      <c r="Q36" s="48"/>
      <c r="R36" s="7"/>
      <c r="S36" s="7"/>
      <c r="T36" s="7"/>
    </row>
    <row r="37" spans="1:20" ht="42.75" customHeight="1" x14ac:dyDescent="0.2">
      <c r="A37" s="215" t="s">
        <v>56</v>
      </c>
      <c r="B37" s="112" t="s">
        <v>57</v>
      </c>
      <c r="C37" s="112" t="s">
        <v>63</v>
      </c>
      <c r="D37" s="298" t="s">
        <v>64</v>
      </c>
      <c r="E37" s="124">
        <f t="shared" ref="E37:E40" si="6">F37</f>
        <v>441.22999999999956</v>
      </c>
      <c r="F37" s="125">
        <f>10800-10358.77</f>
        <v>441.22999999999956</v>
      </c>
      <c r="G37" s="126"/>
      <c r="H37" s="126"/>
      <c r="I37" s="241"/>
      <c r="J37" s="127"/>
      <c r="K37" s="128"/>
      <c r="L37" s="126"/>
      <c r="M37" s="126"/>
      <c r="N37" s="126"/>
      <c r="O37" s="241"/>
      <c r="P37" s="263">
        <f t="shared" si="1"/>
        <v>441.22999999999956</v>
      </c>
      <c r="Q37" s="48"/>
      <c r="R37" s="7"/>
      <c r="S37" s="7"/>
      <c r="T37" s="7"/>
    </row>
    <row r="38" spans="1:20" ht="86.25" customHeight="1" x14ac:dyDescent="0.2">
      <c r="A38" s="215" t="s">
        <v>68</v>
      </c>
      <c r="B38" s="112" t="s">
        <v>69</v>
      </c>
      <c r="C38" s="112" t="s">
        <v>15</v>
      </c>
      <c r="D38" s="298" t="s">
        <v>75</v>
      </c>
      <c r="E38" s="124">
        <f t="shared" si="6"/>
        <v>1127.28</v>
      </c>
      <c r="F38" s="129">
        <f>2300-1172.72</f>
        <v>1127.28</v>
      </c>
      <c r="G38" s="114"/>
      <c r="H38" s="114"/>
      <c r="I38" s="207"/>
      <c r="J38" s="84"/>
      <c r="K38" s="121"/>
      <c r="L38" s="114"/>
      <c r="M38" s="114"/>
      <c r="N38" s="114"/>
      <c r="O38" s="207"/>
      <c r="P38" s="264">
        <f t="shared" si="1"/>
        <v>1127.28</v>
      </c>
      <c r="Q38" s="48"/>
      <c r="R38" s="7"/>
      <c r="S38" s="7"/>
      <c r="T38" s="7"/>
    </row>
    <row r="39" spans="1:20" ht="108" customHeight="1" x14ac:dyDescent="0.2">
      <c r="A39" s="215" t="s">
        <v>58</v>
      </c>
      <c r="B39" s="112" t="s">
        <v>59</v>
      </c>
      <c r="C39" s="112" t="s">
        <v>62</v>
      </c>
      <c r="D39" s="298" t="s">
        <v>65</v>
      </c>
      <c r="E39" s="124">
        <f t="shared" si="6"/>
        <v>2510.2199999999993</v>
      </c>
      <c r="F39" s="130">
        <f>16039-13528.78</f>
        <v>2510.2199999999993</v>
      </c>
      <c r="G39" s="131"/>
      <c r="H39" s="131"/>
      <c r="I39" s="242"/>
      <c r="J39" s="132"/>
      <c r="K39" s="133"/>
      <c r="L39" s="131"/>
      <c r="M39" s="131"/>
      <c r="N39" s="131"/>
      <c r="O39" s="242"/>
      <c r="P39" s="265">
        <f t="shared" si="1"/>
        <v>2510.2199999999993</v>
      </c>
      <c r="Q39" s="48"/>
      <c r="R39" s="7"/>
      <c r="S39" s="7"/>
      <c r="T39" s="7"/>
    </row>
    <row r="40" spans="1:20" ht="42.75" customHeight="1" x14ac:dyDescent="0.2">
      <c r="A40" s="215" t="s">
        <v>23</v>
      </c>
      <c r="B40" s="112" t="s">
        <v>24</v>
      </c>
      <c r="C40" s="112" t="s">
        <v>16</v>
      </c>
      <c r="D40" s="304" t="s">
        <v>148</v>
      </c>
      <c r="E40" s="134">
        <f t="shared" si="6"/>
        <v>17500</v>
      </c>
      <c r="F40" s="80">
        <f>F41+F42+F43</f>
        <v>17500</v>
      </c>
      <c r="G40" s="114"/>
      <c r="H40" s="114"/>
      <c r="I40" s="207"/>
      <c r="J40" s="84"/>
      <c r="K40" s="121"/>
      <c r="L40" s="114"/>
      <c r="M40" s="114"/>
      <c r="N40" s="114"/>
      <c r="O40" s="207"/>
      <c r="P40" s="262">
        <f t="shared" si="1"/>
        <v>17500</v>
      </c>
      <c r="Q40" s="48"/>
      <c r="R40" s="7"/>
      <c r="S40" s="7"/>
      <c r="T40" s="7"/>
    </row>
    <row r="41" spans="1:20" ht="63.75" customHeight="1" x14ac:dyDescent="0.2">
      <c r="A41" s="215"/>
      <c r="B41" s="112"/>
      <c r="C41" s="112"/>
      <c r="D41" s="304" t="s">
        <v>112</v>
      </c>
      <c r="E41" s="134">
        <f t="shared" ref="E41:E43" si="7">F41</f>
        <v>5000</v>
      </c>
      <c r="F41" s="80">
        <f>60000-55000</f>
        <v>5000</v>
      </c>
      <c r="G41" s="114"/>
      <c r="H41" s="114"/>
      <c r="I41" s="207"/>
      <c r="J41" s="84"/>
      <c r="K41" s="121"/>
      <c r="L41" s="114"/>
      <c r="M41" s="114"/>
      <c r="N41" s="114"/>
      <c r="O41" s="207"/>
      <c r="P41" s="134">
        <f t="shared" si="1"/>
        <v>5000</v>
      </c>
      <c r="Q41" s="48"/>
      <c r="R41" s="7"/>
      <c r="S41" s="7"/>
      <c r="T41" s="7"/>
    </row>
    <row r="42" spans="1:20" ht="107.25" customHeight="1" x14ac:dyDescent="0.2">
      <c r="A42" s="215"/>
      <c r="B42" s="112"/>
      <c r="C42" s="112"/>
      <c r="D42" s="304" t="s">
        <v>113</v>
      </c>
      <c r="E42" s="134">
        <f t="shared" si="7"/>
        <v>5800</v>
      </c>
      <c r="F42" s="80">
        <v>5800</v>
      </c>
      <c r="G42" s="114"/>
      <c r="H42" s="114"/>
      <c r="I42" s="207"/>
      <c r="J42" s="84"/>
      <c r="K42" s="121"/>
      <c r="L42" s="114"/>
      <c r="M42" s="114"/>
      <c r="N42" s="114"/>
      <c r="O42" s="207"/>
      <c r="P42" s="134">
        <f t="shared" si="1"/>
        <v>5800</v>
      </c>
      <c r="Q42" s="48"/>
      <c r="R42" s="7"/>
      <c r="S42" s="7"/>
      <c r="T42" s="7"/>
    </row>
    <row r="43" spans="1:20" ht="47.25" customHeight="1" x14ac:dyDescent="0.2">
      <c r="A43" s="215"/>
      <c r="B43" s="112"/>
      <c r="C43" s="112"/>
      <c r="D43" s="298" t="s">
        <v>143</v>
      </c>
      <c r="E43" s="134">
        <f t="shared" si="7"/>
        <v>6700</v>
      </c>
      <c r="F43" s="80">
        <f>13700-7000</f>
        <v>6700</v>
      </c>
      <c r="G43" s="114"/>
      <c r="H43" s="114"/>
      <c r="I43" s="207"/>
      <c r="J43" s="84"/>
      <c r="K43" s="121"/>
      <c r="L43" s="114"/>
      <c r="M43" s="114"/>
      <c r="N43" s="114"/>
      <c r="O43" s="207"/>
      <c r="P43" s="134">
        <f t="shared" si="1"/>
        <v>6700</v>
      </c>
      <c r="Q43" s="48"/>
      <c r="R43" s="7"/>
      <c r="S43" s="7"/>
      <c r="T43" s="7"/>
    </row>
    <row r="44" spans="1:20" ht="80.25" customHeight="1" x14ac:dyDescent="0.2">
      <c r="A44" s="215" t="s">
        <v>140</v>
      </c>
      <c r="B44" s="112" t="s">
        <v>109</v>
      </c>
      <c r="C44" s="112" t="s">
        <v>16</v>
      </c>
      <c r="D44" s="304" t="s">
        <v>149</v>
      </c>
      <c r="E44" s="134">
        <f>F44</f>
        <v>53802</v>
      </c>
      <c r="F44" s="80">
        <f>F45+F46</f>
        <v>53802</v>
      </c>
      <c r="G44" s="114"/>
      <c r="H44" s="114"/>
      <c r="I44" s="207"/>
      <c r="J44" s="84"/>
      <c r="K44" s="121"/>
      <c r="L44" s="114"/>
      <c r="M44" s="114"/>
      <c r="N44" s="114"/>
      <c r="O44" s="207"/>
      <c r="P44" s="262">
        <f t="shared" si="1"/>
        <v>53802</v>
      </c>
      <c r="Q44" s="48"/>
      <c r="R44" s="7"/>
      <c r="S44" s="7"/>
      <c r="T44" s="7"/>
    </row>
    <row r="45" spans="1:20" ht="45.75" customHeight="1" x14ac:dyDescent="0.2">
      <c r="A45" s="215"/>
      <c r="B45" s="112"/>
      <c r="C45" s="112"/>
      <c r="D45" s="298" t="s">
        <v>143</v>
      </c>
      <c r="E45" s="134">
        <f t="shared" ref="E45:E47" si="8">F45</f>
        <v>33802</v>
      </c>
      <c r="F45" s="80">
        <v>33802</v>
      </c>
      <c r="G45" s="114"/>
      <c r="H45" s="114"/>
      <c r="I45" s="207"/>
      <c r="J45" s="84"/>
      <c r="K45" s="121"/>
      <c r="L45" s="114"/>
      <c r="M45" s="114"/>
      <c r="N45" s="114"/>
      <c r="O45" s="207"/>
      <c r="P45" s="134">
        <f t="shared" si="1"/>
        <v>33802</v>
      </c>
      <c r="Q45" s="48"/>
      <c r="R45" s="7"/>
      <c r="S45" s="7"/>
      <c r="T45" s="7"/>
    </row>
    <row r="46" spans="1:20" ht="41.25" customHeight="1" x14ac:dyDescent="0.2">
      <c r="A46" s="215"/>
      <c r="B46" s="112"/>
      <c r="C46" s="112"/>
      <c r="D46" s="298" t="s">
        <v>146</v>
      </c>
      <c r="E46" s="134">
        <f t="shared" si="8"/>
        <v>20000</v>
      </c>
      <c r="F46" s="80">
        <v>20000</v>
      </c>
      <c r="G46" s="114"/>
      <c r="H46" s="114"/>
      <c r="I46" s="207"/>
      <c r="J46" s="84"/>
      <c r="K46" s="121"/>
      <c r="L46" s="114"/>
      <c r="M46" s="114"/>
      <c r="N46" s="114"/>
      <c r="O46" s="207"/>
      <c r="P46" s="134">
        <f t="shared" si="1"/>
        <v>20000</v>
      </c>
      <c r="Q46" s="48"/>
      <c r="R46" s="7"/>
      <c r="S46" s="7"/>
      <c r="T46" s="7"/>
    </row>
    <row r="47" spans="1:20" ht="43.5" customHeight="1" x14ac:dyDescent="0.2">
      <c r="A47" s="215" t="s">
        <v>25</v>
      </c>
      <c r="B47" s="112" t="s">
        <v>26</v>
      </c>
      <c r="C47" s="112" t="s">
        <v>17</v>
      </c>
      <c r="D47" s="298" t="s">
        <v>27</v>
      </c>
      <c r="E47" s="134">
        <f t="shared" si="8"/>
        <v>204000</v>
      </c>
      <c r="F47" s="80">
        <v>204000</v>
      </c>
      <c r="G47" s="114"/>
      <c r="H47" s="114"/>
      <c r="I47" s="207"/>
      <c r="J47" s="84"/>
      <c r="K47" s="121"/>
      <c r="L47" s="114"/>
      <c r="M47" s="114"/>
      <c r="N47" s="114"/>
      <c r="O47" s="207"/>
      <c r="P47" s="262">
        <f t="shared" si="1"/>
        <v>204000</v>
      </c>
      <c r="Q47" s="48"/>
      <c r="R47" s="7"/>
      <c r="S47" s="7"/>
      <c r="T47" s="7"/>
    </row>
    <row r="48" spans="1:20" ht="45" customHeight="1" x14ac:dyDescent="0.2">
      <c r="A48" s="215" t="s">
        <v>116</v>
      </c>
      <c r="B48" s="112" t="s">
        <v>115</v>
      </c>
      <c r="C48" s="112" t="s">
        <v>10</v>
      </c>
      <c r="D48" s="298" t="s">
        <v>117</v>
      </c>
      <c r="E48" s="135">
        <f t="shared" ref="E48:E55" si="9">F48</f>
        <v>402079</v>
      </c>
      <c r="F48" s="80">
        <f>1040000-360217-277704</f>
        <v>402079</v>
      </c>
      <c r="G48" s="114"/>
      <c r="H48" s="114"/>
      <c r="I48" s="207"/>
      <c r="J48" s="84"/>
      <c r="K48" s="121"/>
      <c r="L48" s="114"/>
      <c r="M48" s="114"/>
      <c r="N48" s="114"/>
      <c r="O48" s="207"/>
      <c r="P48" s="262">
        <f t="shared" si="1"/>
        <v>402079</v>
      </c>
      <c r="Q48" s="48"/>
      <c r="R48" s="7"/>
      <c r="S48" s="7"/>
      <c r="T48" s="7"/>
    </row>
    <row r="49" spans="1:20" ht="28.5" customHeight="1" x14ac:dyDescent="0.2">
      <c r="A49" s="215" t="s">
        <v>28</v>
      </c>
      <c r="B49" s="112" t="s">
        <v>29</v>
      </c>
      <c r="C49" s="112" t="s">
        <v>10</v>
      </c>
      <c r="D49" s="298" t="s">
        <v>30</v>
      </c>
      <c r="E49" s="135">
        <f t="shared" si="9"/>
        <v>4260111</v>
      </c>
      <c r="F49" s="80">
        <f>5000000+522542+47944-851511-458864</f>
        <v>4260111</v>
      </c>
      <c r="G49" s="77"/>
      <c r="H49" s="77">
        <f>606405+13221</f>
        <v>619626</v>
      </c>
      <c r="I49" s="207"/>
      <c r="J49" s="84">
        <f>K49</f>
        <v>349240</v>
      </c>
      <c r="K49" s="121">
        <f>49240+300000</f>
        <v>349240</v>
      </c>
      <c r="L49" s="114"/>
      <c r="M49" s="114"/>
      <c r="N49" s="114"/>
      <c r="O49" s="207">
        <f>J49</f>
        <v>349240</v>
      </c>
      <c r="P49" s="262">
        <f t="shared" si="1"/>
        <v>4609351</v>
      </c>
      <c r="Q49" s="48"/>
      <c r="R49" s="7"/>
      <c r="S49" s="7"/>
      <c r="T49" s="7"/>
    </row>
    <row r="50" spans="1:20" ht="28.5" customHeight="1" x14ac:dyDescent="0.2">
      <c r="A50" s="215" t="s">
        <v>152</v>
      </c>
      <c r="B50" s="112" t="s">
        <v>153</v>
      </c>
      <c r="C50" s="112" t="s">
        <v>154</v>
      </c>
      <c r="D50" s="298" t="s">
        <v>155</v>
      </c>
      <c r="E50" s="135">
        <f t="shared" si="9"/>
        <v>213716</v>
      </c>
      <c r="F50" s="80">
        <f>262600-48884</f>
        <v>213716</v>
      </c>
      <c r="G50" s="77"/>
      <c r="H50" s="77"/>
      <c r="I50" s="207"/>
      <c r="J50" s="84"/>
      <c r="K50" s="121"/>
      <c r="L50" s="114"/>
      <c r="M50" s="114"/>
      <c r="N50" s="114"/>
      <c r="O50" s="207"/>
      <c r="P50" s="262">
        <f t="shared" si="1"/>
        <v>213716</v>
      </c>
      <c r="Q50" s="48"/>
      <c r="R50" s="7"/>
      <c r="S50" s="7"/>
      <c r="T50" s="7"/>
    </row>
    <row r="51" spans="1:20" ht="28.5" customHeight="1" x14ac:dyDescent="0.2">
      <c r="A51" s="215" t="s">
        <v>170</v>
      </c>
      <c r="B51" s="112" t="s">
        <v>171</v>
      </c>
      <c r="C51" s="112" t="s">
        <v>172</v>
      </c>
      <c r="D51" s="298" t="s">
        <v>173</v>
      </c>
      <c r="E51" s="135">
        <f t="shared" si="9"/>
        <v>0</v>
      </c>
      <c r="F51" s="80"/>
      <c r="G51" s="77"/>
      <c r="H51" s="77"/>
      <c r="I51" s="207"/>
      <c r="J51" s="84">
        <f>K51</f>
        <v>374619</v>
      </c>
      <c r="K51" s="121">
        <f>97240+25579+251800</f>
        <v>374619</v>
      </c>
      <c r="L51" s="114"/>
      <c r="M51" s="114"/>
      <c r="N51" s="114"/>
      <c r="O51" s="207">
        <f>J51</f>
        <v>374619</v>
      </c>
      <c r="P51" s="262">
        <f t="shared" si="1"/>
        <v>374619</v>
      </c>
      <c r="Q51" s="48"/>
      <c r="R51" s="7"/>
      <c r="S51" s="7"/>
      <c r="T51" s="7"/>
    </row>
    <row r="52" spans="1:20" ht="36.75" customHeight="1" x14ac:dyDescent="0.2">
      <c r="A52" s="313" t="s">
        <v>239</v>
      </c>
      <c r="B52" s="314">
        <v>7325</v>
      </c>
      <c r="C52" s="315" t="s">
        <v>172</v>
      </c>
      <c r="D52" s="316" t="s">
        <v>231</v>
      </c>
      <c r="E52" s="135"/>
      <c r="F52" s="80"/>
      <c r="G52" s="77"/>
      <c r="H52" s="77"/>
      <c r="I52" s="207"/>
      <c r="J52" s="84">
        <f>K52</f>
        <v>48200</v>
      </c>
      <c r="K52" s="121">
        <v>48200</v>
      </c>
      <c r="L52" s="114"/>
      <c r="M52" s="114"/>
      <c r="N52" s="114"/>
      <c r="O52" s="207">
        <f>K52</f>
        <v>48200</v>
      </c>
      <c r="P52" s="262">
        <f>O52</f>
        <v>48200</v>
      </c>
      <c r="Q52" s="48"/>
      <c r="R52" s="7"/>
      <c r="S52" s="7"/>
      <c r="T52" s="7"/>
    </row>
    <row r="53" spans="1:20" ht="39.950000000000003" customHeight="1" x14ac:dyDescent="0.2">
      <c r="A53" s="215" t="s">
        <v>209</v>
      </c>
      <c r="B53" s="112" t="s">
        <v>210</v>
      </c>
      <c r="C53" s="112" t="s">
        <v>172</v>
      </c>
      <c r="D53" s="298" t="s">
        <v>212</v>
      </c>
      <c r="E53" s="135"/>
      <c r="F53" s="80"/>
      <c r="G53" s="77"/>
      <c r="H53" s="77"/>
      <c r="I53" s="207"/>
      <c r="J53" s="84">
        <f>L53+O53</f>
        <v>48884</v>
      </c>
      <c r="K53" s="121">
        <f>O53</f>
        <v>48884</v>
      </c>
      <c r="L53" s="114"/>
      <c r="M53" s="114"/>
      <c r="N53" s="114"/>
      <c r="O53" s="207">
        <v>48884</v>
      </c>
      <c r="P53" s="262">
        <f t="shared" si="1"/>
        <v>48884</v>
      </c>
      <c r="Q53" s="48"/>
      <c r="R53" s="7"/>
      <c r="S53" s="7"/>
      <c r="T53" s="7"/>
    </row>
    <row r="54" spans="1:20" ht="62.1" customHeight="1" x14ac:dyDescent="0.2">
      <c r="A54" s="215" t="s">
        <v>213</v>
      </c>
      <c r="B54" s="112" t="s">
        <v>214</v>
      </c>
      <c r="C54" s="112" t="s">
        <v>120</v>
      </c>
      <c r="D54" s="298" t="s">
        <v>221</v>
      </c>
      <c r="E54" s="135"/>
      <c r="F54" s="80"/>
      <c r="G54" s="77"/>
      <c r="H54" s="77"/>
      <c r="I54" s="207"/>
      <c r="J54" s="84">
        <f>L54+O54</f>
        <v>5241175</v>
      </c>
      <c r="K54" s="121">
        <f>O54</f>
        <v>5241175</v>
      </c>
      <c r="L54" s="114"/>
      <c r="M54" s="114"/>
      <c r="N54" s="114"/>
      <c r="O54" s="207">
        <f>675000+4566175</f>
        <v>5241175</v>
      </c>
      <c r="P54" s="262">
        <f t="shared" si="1"/>
        <v>5241175</v>
      </c>
      <c r="Q54" s="48"/>
      <c r="R54" s="7"/>
      <c r="S54" s="7"/>
      <c r="T54" s="7"/>
    </row>
    <row r="55" spans="1:20" ht="42.75" customHeight="1" x14ac:dyDescent="0.2">
      <c r="A55" s="215" t="s">
        <v>118</v>
      </c>
      <c r="B55" s="112" t="s">
        <v>119</v>
      </c>
      <c r="C55" s="112" t="s">
        <v>120</v>
      </c>
      <c r="D55" s="298" t="s">
        <v>125</v>
      </c>
      <c r="E55" s="135">
        <f t="shared" si="9"/>
        <v>426062</v>
      </c>
      <c r="F55" s="80">
        <f>103600+15469+36756+214292+55945</f>
        <v>426062</v>
      </c>
      <c r="G55" s="77"/>
      <c r="H55" s="77"/>
      <c r="I55" s="207"/>
      <c r="J55" s="84">
        <f>K55</f>
        <v>2108451</v>
      </c>
      <c r="K55" s="121">
        <f>1100000+821023+87321+22800+77307</f>
        <v>2108451</v>
      </c>
      <c r="L55" s="114"/>
      <c r="M55" s="114"/>
      <c r="N55" s="114"/>
      <c r="O55" s="207">
        <f>J55</f>
        <v>2108451</v>
      </c>
      <c r="P55" s="262">
        <f t="shared" si="1"/>
        <v>2534513</v>
      </c>
      <c r="Q55" s="48"/>
      <c r="R55" s="7"/>
      <c r="S55" s="7"/>
      <c r="T55" s="7"/>
    </row>
    <row r="56" spans="1:20" ht="60" customHeight="1" x14ac:dyDescent="0.2">
      <c r="A56" s="301" t="s">
        <v>223</v>
      </c>
      <c r="B56" s="302" t="s">
        <v>224</v>
      </c>
      <c r="C56" s="302" t="s">
        <v>225</v>
      </c>
      <c r="D56" s="305" t="s">
        <v>226</v>
      </c>
      <c r="E56" s="135"/>
      <c r="F56" s="80"/>
      <c r="G56" s="77"/>
      <c r="H56" s="77"/>
      <c r="I56" s="207"/>
      <c r="J56" s="84">
        <f>K56</f>
        <v>117660</v>
      </c>
      <c r="K56" s="121">
        <v>117660</v>
      </c>
      <c r="L56" s="114"/>
      <c r="M56" s="114"/>
      <c r="N56" s="114"/>
      <c r="O56" s="207">
        <f>K56</f>
        <v>117660</v>
      </c>
      <c r="P56" s="262">
        <f>O56</f>
        <v>117660</v>
      </c>
      <c r="Q56" s="48"/>
      <c r="R56" s="7"/>
      <c r="S56" s="7"/>
      <c r="T56" s="7"/>
    </row>
    <row r="57" spans="1:20" ht="42.75" customHeight="1" x14ac:dyDescent="0.2">
      <c r="A57" s="215" t="s">
        <v>215</v>
      </c>
      <c r="B57" s="112" t="s">
        <v>216</v>
      </c>
      <c r="C57" s="112" t="s">
        <v>120</v>
      </c>
      <c r="D57" s="298" t="s">
        <v>217</v>
      </c>
      <c r="E57" s="135"/>
      <c r="F57" s="80"/>
      <c r="G57" s="77"/>
      <c r="H57" s="77"/>
      <c r="I57" s="207"/>
      <c r="J57" s="84">
        <f>L57+O57</f>
        <v>10100</v>
      </c>
      <c r="K57" s="121">
        <f>O57</f>
        <v>10100</v>
      </c>
      <c r="L57" s="114"/>
      <c r="M57" s="114"/>
      <c r="N57" s="114"/>
      <c r="O57" s="207">
        <v>10100</v>
      </c>
      <c r="P57" s="262">
        <f t="shared" si="1"/>
        <v>10100</v>
      </c>
      <c r="Q57" s="48"/>
      <c r="R57" s="7"/>
      <c r="S57" s="7"/>
      <c r="T57" s="7"/>
    </row>
    <row r="58" spans="1:20" ht="42.75" customHeight="1" x14ac:dyDescent="0.2">
      <c r="A58" s="215" t="s">
        <v>234</v>
      </c>
      <c r="B58" s="112" t="s">
        <v>235</v>
      </c>
      <c r="C58" s="112" t="s">
        <v>120</v>
      </c>
      <c r="D58" s="311" t="s">
        <v>236</v>
      </c>
      <c r="E58" s="135">
        <f>F58</f>
        <v>8109</v>
      </c>
      <c r="F58" s="80">
        <v>8109</v>
      </c>
      <c r="G58" s="77"/>
      <c r="H58" s="77"/>
      <c r="I58" s="207"/>
      <c r="J58" s="84"/>
      <c r="K58" s="121"/>
      <c r="L58" s="114"/>
      <c r="M58" s="114"/>
      <c r="N58" s="114"/>
      <c r="O58" s="207"/>
      <c r="P58" s="262">
        <f t="shared" si="1"/>
        <v>8109</v>
      </c>
      <c r="Q58" s="48"/>
      <c r="R58" s="7"/>
      <c r="S58" s="7"/>
      <c r="T58" s="7"/>
    </row>
    <row r="59" spans="1:20" ht="45.75" customHeight="1" x14ac:dyDescent="0.2">
      <c r="A59" s="215" t="s">
        <v>32</v>
      </c>
      <c r="B59" s="112" t="s">
        <v>33</v>
      </c>
      <c r="C59" s="112" t="s">
        <v>34</v>
      </c>
      <c r="D59" s="298" t="s">
        <v>211</v>
      </c>
      <c r="E59" s="84">
        <v>200000</v>
      </c>
      <c r="F59" s="80">
        <f>E59</f>
        <v>200000</v>
      </c>
      <c r="G59" s="116"/>
      <c r="H59" s="116"/>
      <c r="I59" s="207"/>
      <c r="J59" s="84"/>
      <c r="K59" s="115"/>
      <c r="L59" s="114"/>
      <c r="M59" s="114"/>
      <c r="N59" s="114"/>
      <c r="O59" s="207"/>
      <c r="P59" s="262">
        <f t="shared" ref="P59" si="10">E59+J59</f>
        <v>200000</v>
      </c>
      <c r="Q59" s="48"/>
      <c r="R59" s="7"/>
      <c r="S59" s="7"/>
      <c r="T59" s="7"/>
    </row>
    <row r="60" spans="1:20" ht="46.5" customHeight="1" thickBot="1" x14ac:dyDescent="0.25">
      <c r="A60" s="217" t="s">
        <v>121</v>
      </c>
      <c r="B60" s="303" t="s">
        <v>122</v>
      </c>
      <c r="C60" s="303" t="s">
        <v>123</v>
      </c>
      <c r="D60" s="306" t="s">
        <v>124</v>
      </c>
      <c r="E60" s="137"/>
      <c r="F60" s="138"/>
      <c r="G60" s="139"/>
      <c r="H60" s="139"/>
      <c r="I60" s="243"/>
      <c r="J60" s="140">
        <v>40000</v>
      </c>
      <c r="K60" s="85"/>
      <c r="L60" s="141">
        <v>40000</v>
      </c>
      <c r="M60" s="141"/>
      <c r="N60" s="141"/>
      <c r="O60" s="243"/>
      <c r="P60" s="266">
        <f t="shared" si="1"/>
        <v>40000</v>
      </c>
      <c r="Q60" s="48"/>
      <c r="R60" s="7"/>
      <c r="S60" s="7"/>
      <c r="T60" s="7"/>
    </row>
    <row r="61" spans="1:20" s="3" customFormat="1" ht="48" customHeight="1" x14ac:dyDescent="0.2">
      <c r="A61" s="218" t="s">
        <v>51</v>
      </c>
      <c r="B61" s="143"/>
      <c r="C61" s="144"/>
      <c r="D61" s="230" t="s">
        <v>96</v>
      </c>
      <c r="E61" s="145">
        <f>E62</f>
        <v>46894635</v>
      </c>
      <c r="F61" s="146">
        <f t="shared" ref="F61:G61" si="11">F62</f>
        <v>46894635</v>
      </c>
      <c r="G61" s="147">
        <f t="shared" si="11"/>
        <v>33380280</v>
      </c>
      <c r="H61" s="147">
        <f t="shared" ref="H61:O61" si="12">H62</f>
        <v>1764371</v>
      </c>
      <c r="I61" s="244">
        <f t="shared" si="12"/>
        <v>0</v>
      </c>
      <c r="J61" s="148">
        <f t="shared" si="12"/>
        <v>6386473</v>
      </c>
      <c r="K61" s="149">
        <f t="shared" si="12"/>
        <v>5735653</v>
      </c>
      <c r="L61" s="150">
        <f t="shared" si="12"/>
        <v>650820</v>
      </c>
      <c r="M61" s="151">
        <f t="shared" si="12"/>
        <v>38500</v>
      </c>
      <c r="N61" s="151">
        <f t="shared" si="12"/>
        <v>21580</v>
      </c>
      <c r="O61" s="255">
        <f t="shared" si="12"/>
        <v>5735653</v>
      </c>
      <c r="P61" s="179">
        <f>E61+J61</f>
        <v>53281108</v>
      </c>
      <c r="Q61" s="48"/>
    </row>
    <row r="62" spans="1:20" s="3" customFormat="1" ht="45.75" customHeight="1" thickBot="1" x14ac:dyDescent="0.25">
      <c r="A62" s="219" t="s">
        <v>39</v>
      </c>
      <c r="B62" s="153"/>
      <c r="C62" s="154"/>
      <c r="D62" s="231" t="s">
        <v>96</v>
      </c>
      <c r="E62" s="155">
        <f>E63+E64+E66+E69+E73+E74+E79+E80+E85+E90+E91+E88+E89+E72+E94+E87</f>
        <v>46894635</v>
      </c>
      <c r="F62" s="234">
        <f>F63+F64+F66+F69+F73+F74+F79+F80+F85+F90+F91+F88+F89+F72+F94+F87</f>
        <v>46894635</v>
      </c>
      <c r="G62" s="155">
        <f>G63+G64+G66+G69+G73+G74+G79+G80+G85+G90+G91+G88+G89+G72</f>
        <v>33380280</v>
      </c>
      <c r="H62" s="155">
        <f>H63+H64+H66+H69+H73+H74+H79+H80+H85+H90+H91+H88+H89</f>
        <v>1764371</v>
      </c>
      <c r="I62" s="245">
        <f>I63+I64+I66+I69+I73+I74+I79+I80+I85+I90+I91+I88+I89</f>
        <v>0</v>
      </c>
      <c r="J62" s="155">
        <f>J63+J64+J66+J69+J72+J73+J74+J79+J80+J85+J88+J89+J90+J91+J93+J86+J92+J87</f>
        <v>6386473</v>
      </c>
      <c r="K62" s="234">
        <f>K63+K64+K66+K69+K72+K73+K74+K79+K80+K85+K88+K89+K90+K91+K93+K86+K92+K87</f>
        <v>5735653</v>
      </c>
      <c r="L62" s="155">
        <f>L63+L64+L66+L69+L73+L74+L79+L80+L85+L90+L91+L88+L89</f>
        <v>650820</v>
      </c>
      <c r="M62" s="155">
        <f>M63+M64+M66+M69+M73+M74+M79+M80+M85+M90+M91+M88+M89</f>
        <v>38500</v>
      </c>
      <c r="N62" s="155">
        <f>N63+N64+N66+N69+N73+N74+N79+N80+N85+N90+N91+N88+N89</f>
        <v>21580</v>
      </c>
      <c r="O62" s="245">
        <f>O63+O64+O66+O69+O73+O74+O79+O80+O85+O90+O91+O88+O89+O72+O93+O86+O92+O87</f>
        <v>5735653</v>
      </c>
      <c r="P62" s="155">
        <f>P63+P64+P66+P69+P73+P74+P79+P80+P85+P90+P91+P88+P89+P72++P86+P93+P92+P94+P87</f>
        <v>53281108</v>
      </c>
      <c r="Q62" s="48"/>
    </row>
    <row r="63" spans="1:20" s="3" customFormat="1" ht="66.75" customHeight="1" x14ac:dyDescent="0.2">
      <c r="A63" s="214" t="s">
        <v>35</v>
      </c>
      <c r="B63" s="296" t="s">
        <v>36</v>
      </c>
      <c r="C63" s="318" t="s">
        <v>5</v>
      </c>
      <c r="D63" s="272" t="s">
        <v>76</v>
      </c>
      <c r="E63" s="156">
        <f>F63</f>
        <v>1739655</v>
      </c>
      <c r="F63" s="157">
        <f>1522955+231040-14340</f>
        <v>1739655</v>
      </c>
      <c r="G63" s="108">
        <f>1171983+189377</f>
        <v>1361360</v>
      </c>
      <c r="H63" s="108"/>
      <c r="I63" s="246"/>
      <c r="J63" s="109">
        <f>K63</f>
        <v>14340</v>
      </c>
      <c r="K63" s="158">
        <v>14340</v>
      </c>
      <c r="L63" s="111"/>
      <c r="M63" s="111"/>
      <c r="N63" s="111"/>
      <c r="O63" s="254">
        <f>K63</f>
        <v>14340</v>
      </c>
      <c r="P63" s="267">
        <f t="shared" si="1"/>
        <v>1753995</v>
      </c>
      <c r="Q63" s="48"/>
    </row>
    <row r="64" spans="1:20" s="3" customFormat="1" ht="21.75" customHeight="1" x14ac:dyDescent="0.2">
      <c r="A64" s="217" t="s">
        <v>37</v>
      </c>
      <c r="B64" s="136" t="s">
        <v>15</v>
      </c>
      <c r="C64" s="319" t="s">
        <v>9</v>
      </c>
      <c r="D64" s="298" t="s">
        <v>40</v>
      </c>
      <c r="E64" s="156">
        <f>F64</f>
        <v>10997683</v>
      </c>
      <c r="F64" s="78">
        <f>10772532+44508+18477+27348+134818</f>
        <v>10997683</v>
      </c>
      <c r="G64" s="159">
        <f>7476302+10931</f>
        <v>7487233</v>
      </c>
      <c r="H64" s="159">
        <f>564368+10171</f>
        <v>574539</v>
      </c>
      <c r="I64" s="103"/>
      <c r="J64" s="160">
        <v>573420</v>
      </c>
      <c r="K64" s="78"/>
      <c r="L64" s="159">
        <v>573420</v>
      </c>
      <c r="M64" s="161"/>
      <c r="N64" s="161"/>
      <c r="O64" s="256"/>
      <c r="P64" s="267">
        <f>E64+J64</f>
        <v>11571103</v>
      </c>
      <c r="Q64" s="48"/>
    </row>
    <row r="65" spans="1:17" s="3" customFormat="1" ht="18" hidden="1" customHeight="1" x14ac:dyDescent="0.2">
      <c r="A65" s="220"/>
      <c r="B65" s="162"/>
      <c r="C65" s="320"/>
      <c r="D65" s="298" t="s">
        <v>101</v>
      </c>
      <c r="E65" s="160">
        <f>11232709-460177</f>
        <v>10772532</v>
      </c>
      <c r="F65" s="78">
        <f>E65</f>
        <v>10772532</v>
      </c>
      <c r="G65" s="77">
        <f>7744523-268221</f>
        <v>7476302</v>
      </c>
      <c r="H65" s="77">
        <f>607883-43515</f>
        <v>564368</v>
      </c>
      <c r="I65" s="102"/>
      <c r="J65" s="135">
        <v>573420</v>
      </c>
      <c r="K65" s="163"/>
      <c r="L65" s="164">
        <v>573420</v>
      </c>
      <c r="M65" s="165"/>
      <c r="N65" s="165"/>
      <c r="O65" s="257"/>
      <c r="P65" s="262">
        <f t="shared" si="1"/>
        <v>11345952</v>
      </c>
      <c r="Q65" s="48"/>
    </row>
    <row r="66" spans="1:17" s="3" customFormat="1" ht="46.5" customHeight="1" x14ac:dyDescent="0.2">
      <c r="A66" s="215" t="s">
        <v>84</v>
      </c>
      <c r="B66" s="112" t="s">
        <v>85</v>
      </c>
      <c r="C66" s="321" t="s">
        <v>19</v>
      </c>
      <c r="D66" s="298" t="s">
        <v>203</v>
      </c>
      <c r="E66" s="160">
        <f>F66</f>
        <v>8458814</v>
      </c>
      <c r="F66" s="78">
        <f t="shared" ref="F66:N66" si="13">F67+F68</f>
        <v>8458814</v>
      </c>
      <c r="G66" s="159">
        <f t="shared" si="13"/>
        <v>4560568</v>
      </c>
      <c r="H66" s="159">
        <f>H67+H68</f>
        <v>1127870</v>
      </c>
      <c r="I66" s="103">
        <f t="shared" si="13"/>
        <v>0</v>
      </c>
      <c r="J66" s="160">
        <f>K66</f>
        <v>200000</v>
      </c>
      <c r="K66" s="78">
        <f>O66</f>
        <v>200000</v>
      </c>
      <c r="L66" s="159">
        <f t="shared" si="13"/>
        <v>0</v>
      </c>
      <c r="M66" s="159">
        <f t="shared" si="13"/>
        <v>0</v>
      </c>
      <c r="N66" s="159">
        <f t="shared" si="13"/>
        <v>0</v>
      </c>
      <c r="O66" s="103">
        <v>200000</v>
      </c>
      <c r="P66" s="262">
        <f>E66+J66</f>
        <v>8658814</v>
      </c>
      <c r="Q66" s="48"/>
    </row>
    <row r="67" spans="1:17" s="3" customFormat="1" ht="45" customHeight="1" x14ac:dyDescent="0.2">
      <c r="A67" s="215"/>
      <c r="B67" s="112"/>
      <c r="C67" s="321"/>
      <c r="D67" s="298" t="s">
        <v>143</v>
      </c>
      <c r="E67" s="160">
        <f t="shared" ref="E67:E68" si="14">F67</f>
        <v>7629314</v>
      </c>
      <c r="F67" s="103">
        <f>7003386+460177+42588-10171+133334</f>
        <v>7629314</v>
      </c>
      <c r="G67" s="77">
        <f>3502136+368139+10293</f>
        <v>3880568</v>
      </c>
      <c r="H67" s="77">
        <f>1239212-103385+2214-10171</f>
        <v>1127870</v>
      </c>
      <c r="I67" s="102"/>
      <c r="J67" s="84"/>
      <c r="K67" s="121"/>
      <c r="L67" s="114"/>
      <c r="M67" s="114"/>
      <c r="N67" s="114"/>
      <c r="O67" s="118"/>
      <c r="P67" s="262">
        <f>E67+J67</f>
        <v>7629314</v>
      </c>
      <c r="Q67" s="48"/>
    </row>
    <row r="68" spans="1:17" s="3" customFormat="1" ht="67.5" customHeight="1" x14ac:dyDescent="0.2">
      <c r="A68" s="215"/>
      <c r="B68" s="112"/>
      <c r="C68" s="321"/>
      <c r="D68" s="298" t="s">
        <v>166</v>
      </c>
      <c r="E68" s="160">
        <f t="shared" si="14"/>
        <v>829500</v>
      </c>
      <c r="F68" s="103">
        <v>829500</v>
      </c>
      <c r="G68" s="77">
        <v>680000</v>
      </c>
      <c r="H68" s="77"/>
      <c r="I68" s="102"/>
      <c r="J68" s="84"/>
      <c r="K68" s="121"/>
      <c r="L68" s="114"/>
      <c r="M68" s="114"/>
      <c r="N68" s="114"/>
      <c r="O68" s="118"/>
      <c r="P68" s="262">
        <f>E68+J68</f>
        <v>829500</v>
      </c>
      <c r="Q68" s="48"/>
    </row>
    <row r="69" spans="1:17" s="3" customFormat="1" ht="42" customHeight="1" x14ac:dyDescent="0.2">
      <c r="A69" s="215" t="s">
        <v>86</v>
      </c>
      <c r="B69" s="112" t="s">
        <v>87</v>
      </c>
      <c r="C69" s="321" t="s">
        <v>19</v>
      </c>
      <c r="D69" s="298" t="s">
        <v>77</v>
      </c>
      <c r="E69" s="160">
        <f>F69</f>
        <v>19442200</v>
      </c>
      <c r="F69" s="78">
        <v>19442200</v>
      </c>
      <c r="G69" s="159">
        <v>15956610</v>
      </c>
      <c r="H69" s="159">
        <f t="shared" ref="H69" si="15">H70+H71</f>
        <v>0</v>
      </c>
      <c r="I69" s="103">
        <f t="shared" ref="I69" si="16">I70+I71</f>
        <v>0</v>
      </c>
      <c r="J69" s="160">
        <f t="shared" ref="J69" si="17">J70+J71</f>
        <v>0</v>
      </c>
      <c r="K69" s="78">
        <f t="shared" ref="K69" si="18">K70+K71</f>
        <v>0</v>
      </c>
      <c r="L69" s="159">
        <f t="shared" ref="L69" si="19">L70+L71</f>
        <v>0</v>
      </c>
      <c r="M69" s="159">
        <f t="shared" ref="M69" si="20">M70+M71</f>
        <v>0</v>
      </c>
      <c r="N69" s="159">
        <f t="shared" ref="N69" si="21">N70+N71</f>
        <v>0</v>
      </c>
      <c r="O69" s="103">
        <f t="shared" ref="O69" si="22">O70+O71</f>
        <v>0</v>
      </c>
      <c r="P69" s="262">
        <f t="shared" si="1"/>
        <v>19442200</v>
      </c>
      <c r="Q69" s="48"/>
    </row>
    <row r="70" spans="1:17" s="3" customFormat="1" ht="68.25" hidden="1" customHeight="1" x14ac:dyDescent="0.2">
      <c r="A70" s="215"/>
      <c r="B70" s="112"/>
      <c r="C70" s="321"/>
      <c r="D70" s="299"/>
      <c r="E70" s="160"/>
      <c r="F70" s="80"/>
      <c r="G70" s="77"/>
      <c r="H70" s="77"/>
      <c r="I70" s="81"/>
      <c r="J70" s="134"/>
      <c r="K70" s="80"/>
      <c r="L70" s="77"/>
      <c r="M70" s="77"/>
      <c r="N70" s="77"/>
      <c r="O70" s="81"/>
      <c r="P70" s="262">
        <f t="shared" si="1"/>
        <v>0</v>
      </c>
      <c r="Q70" s="48"/>
    </row>
    <row r="71" spans="1:17" s="3" customFormat="1" ht="68.25" hidden="1" customHeight="1" x14ac:dyDescent="0.2">
      <c r="A71" s="216"/>
      <c r="B71" s="119"/>
      <c r="C71" s="322"/>
      <c r="D71" s="299" t="s">
        <v>139</v>
      </c>
      <c r="E71" s="160">
        <v>18374368</v>
      </c>
      <c r="F71" s="80">
        <f t="shared" ref="F71" si="23">E71</f>
        <v>18374368</v>
      </c>
      <c r="G71" s="77">
        <v>15060957</v>
      </c>
      <c r="H71" s="79"/>
      <c r="I71" s="247"/>
      <c r="J71" s="166"/>
      <c r="K71" s="167"/>
      <c r="L71" s="79"/>
      <c r="M71" s="79"/>
      <c r="N71" s="79"/>
      <c r="O71" s="247"/>
      <c r="P71" s="262">
        <f t="shared" si="1"/>
        <v>18374368</v>
      </c>
      <c r="Q71" s="48"/>
    </row>
    <row r="72" spans="1:17" s="3" customFormat="1" ht="68.25" customHeight="1" x14ac:dyDescent="0.2">
      <c r="A72" s="215" t="s">
        <v>218</v>
      </c>
      <c r="B72" s="112" t="s">
        <v>219</v>
      </c>
      <c r="C72" s="321" t="s">
        <v>19</v>
      </c>
      <c r="D72" s="298" t="s">
        <v>77</v>
      </c>
      <c r="E72" s="160">
        <f>F72</f>
        <v>120555</v>
      </c>
      <c r="F72" s="80">
        <v>120555</v>
      </c>
      <c r="G72" s="77">
        <v>29090</v>
      </c>
      <c r="H72" s="79"/>
      <c r="I72" s="247"/>
      <c r="J72" s="134">
        <f>L72+O72</f>
        <v>342979</v>
      </c>
      <c r="K72" s="80">
        <f>O72</f>
        <v>342979</v>
      </c>
      <c r="L72" s="79"/>
      <c r="M72" s="79"/>
      <c r="N72" s="79"/>
      <c r="O72" s="81">
        <f>179479+163500</f>
        <v>342979</v>
      </c>
      <c r="P72" s="262">
        <f t="shared" ref="P72:P77" si="24">E72+J72</f>
        <v>463534</v>
      </c>
      <c r="Q72" s="48"/>
    </row>
    <row r="73" spans="1:17" s="3" customFormat="1" ht="31.5" customHeight="1" x14ac:dyDescent="0.2">
      <c r="A73" s="215" t="s">
        <v>81</v>
      </c>
      <c r="B73" s="112" t="s">
        <v>78</v>
      </c>
      <c r="C73" s="321" t="s">
        <v>20</v>
      </c>
      <c r="D73" s="298" t="s">
        <v>126</v>
      </c>
      <c r="E73" s="160">
        <f>F73</f>
        <v>1700000</v>
      </c>
      <c r="F73" s="80">
        <v>1700000</v>
      </c>
      <c r="G73" s="77">
        <v>1394384</v>
      </c>
      <c r="H73" s="77"/>
      <c r="I73" s="81"/>
      <c r="J73" s="134">
        <v>77400</v>
      </c>
      <c r="K73" s="80"/>
      <c r="L73" s="77">
        <v>77400</v>
      </c>
      <c r="M73" s="77">
        <v>38500</v>
      </c>
      <c r="N73" s="77">
        <v>21580</v>
      </c>
      <c r="O73" s="81"/>
      <c r="P73" s="262">
        <f t="shared" si="24"/>
        <v>1777400</v>
      </c>
      <c r="Q73" s="48"/>
    </row>
    <row r="74" spans="1:17" s="3" customFormat="1" ht="50.25" customHeight="1" x14ac:dyDescent="0.2">
      <c r="A74" s="215" t="s">
        <v>82</v>
      </c>
      <c r="B74" s="112" t="s">
        <v>79</v>
      </c>
      <c r="C74" s="321" t="s">
        <v>8</v>
      </c>
      <c r="D74" s="298" t="s">
        <v>204</v>
      </c>
      <c r="E74" s="160">
        <f t="shared" ref="E74:E89" si="25">F74</f>
        <v>1216536</v>
      </c>
      <c r="F74" s="103">
        <f>F75+F76+F77+F78</f>
        <v>1216536</v>
      </c>
      <c r="G74" s="159">
        <f>G75+G76+G77+G78</f>
        <v>948177</v>
      </c>
      <c r="H74" s="77"/>
      <c r="I74" s="81"/>
      <c r="J74" s="166"/>
      <c r="K74" s="167"/>
      <c r="L74" s="79"/>
      <c r="M74" s="79"/>
      <c r="N74" s="79"/>
      <c r="O74" s="247"/>
      <c r="P74" s="262">
        <f t="shared" si="24"/>
        <v>1216536</v>
      </c>
      <c r="Q74" s="48"/>
    </row>
    <row r="75" spans="1:17" s="3" customFormat="1" ht="43.5" customHeight="1" x14ac:dyDescent="0.2">
      <c r="A75" s="216"/>
      <c r="B75" s="119"/>
      <c r="C75" s="322"/>
      <c r="D75" s="298" t="s">
        <v>143</v>
      </c>
      <c r="E75" s="160">
        <f t="shared" si="25"/>
        <v>1151250</v>
      </c>
      <c r="F75" s="78">
        <v>1151250</v>
      </c>
      <c r="G75" s="77">
        <f>898577+3000</f>
        <v>901577</v>
      </c>
      <c r="H75" s="77"/>
      <c r="I75" s="247"/>
      <c r="J75" s="166"/>
      <c r="K75" s="167"/>
      <c r="L75" s="79"/>
      <c r="M75" s="79"/>
      <c r="N75" s="79"/>
      <c r="O75" s="247"/>
      <c r="P75" s="262">
        <f t="shared" si="24"/>
        <v>1151250</v>
      </c>
      <c r="Q75" s="48"/>
    </row>
    <row r="76" spans="1:17" s="3" customFormat="1" ht="48" customHeight="1" x14ac:dyDescent="0.2">
      <c r="A76" s="216"/>
      <c r="B76" s="119"/>
      <c r="C76" s="322"/>
      <c r="D76" s="298" t="s">
        <v>144</v>
      </c>
      <c r="E76" s="160">
        <f t="shared" si="25"/>
        <v>28493</v>
      </c>
      <c r="F76" s="78">
        <v>28493</v>
      </c>
      <c r="G76" s="77">
        <v>23300</v>
      </c>
      <c r="H76" s="79"/>
      <c r="I76" s="247"/>
      <c r="J76" s="166"/>
      <c r="K76" s="167"/>
      <c r="L76" s="79"/>
      <c r="M76" s="79"/>
      <c r="N76" s="79"/>
      <c r="O76" s="247"/>
      <c r="P76" s="262">
        <f t="shared" si="24"/>
        <v>28493</v>
      </c>
      <c r="Q76" s="48"/>
    </row>
    <row r="77" spans="1:17" s="3" customFormat="1" ht="40.5" customHeight="1" x14ac:dyDescent="0.2">
      <c r="A77" s="216"/>
      <c r="B77" s="119"/>
      <c r="C77" s="322"/>
      <c r="D77" s="298" t="s">
        <v>147</v>
      </c>
      <c r="E77" s="160">
        <f t="shared" si="25"/>
        <v>36793</v>
      </c>
      <c r="F77" s="78">
        <v>36793</v>
      </c>
      <c r="G77" s="77">
        <v>23300</v>
      </c>
      <c r="H77" s="79"/>
      <c r="I77" s="247"/>
      <c r="J77" s="166"/>
      <c r="K77" s="167"/>
      <c r="L77" s="79"/>
      <c r="M77" s="79"/>
      <c r="N77" s="79"/>
      <c r="O77" s="247"/>
      <c r="P77" s="262">
        <f t="shared" si="24"/>
        <v>36793</v>
      </c>
      <c r="Q77" s="48"/>
    </row>
    <row r="78" spans="1:17" s="3" customFormat="1" ht="42" hidden="1" customHeight="1" x14ac:dyDescent="0.2">
      <c r="A78" s="216"/>
      <c r="B78" s="119"/>
      <c r="C78" s="322"/>
      <c r="D78" s="298" t="s">
        <v>100</v>
      </c>
      <c r="E78" s="168">
        <v>0</v>
      </c>
      <c r="F78" s="80">
        <f t="shared" ref="F78" si="26">E78</f>
        <v>0</v>
      </c>
      <c r="G78" s="79"/>
      <c r="H78" s="79"/>
      <c r="I78" s="247"/>
      <c r="J78" s="166"/>
      <c r="K78" s="167"/>
      <c r="L78" s="79"/>
      <c r="M78" s="79"/>
      <c r="N78" s="79"/>
      <c r="O78" s="247"/>
      <c r="P78" s="262">
        <f t="shared" si="1"/>
        <v>0</v>
      </c>
      <c r="Q78" s="48"/>
    </row>
    <row r="79" spans="1:17" s="3" customFormat="1" ht="27.75" customHeight="1" x14ac:dyDescent="0.2">
      <c r="A79" s="215" t="s">
        <v>83</v>
      </c>
      <c r="B79" s="112" t="s">
        <v>80</v>
      </c>
      <c r="C79" s="321" t="s">
        <v>8</v>
      </c>
      <c r="D79" s="298" t="s">
        <v>66</v>
      </c>
      <c r="E79" s="160">
        <f t="shared" si="25"/>
        <v>697920</v>
      </c>
      <c r="F79" s="78">
        <f>656108+62904+19800-40892</f>
        <v>697920</v>
      </c>
      <c r="G79" s="77"/>
      <c r="H79" s="77"/>
      <c r="I79" s="102"/>
      <c r="J79" s="84">
        <f>K79</f>
        <v>350000</v>
      </c>
      <c r="K79" s="121">
        <f>328784+21216</f>
        <v>350000</v>
      </c>
      <c r="L79" s="114"/>
      <c r="M79" s="114"/>
      <c r="N79" s="114"/>
      <c r="O79" s="207">
        <f>K79</f>
        <v>350000</v>
      </c>
      <c r="P79" s="262">
        <f>E79+J79</f>
        <v>1047920</v>
      </c>
      <c r="Q79" s="48"/>
    </row>
    <row r="80" spans="1:17" s="3" customFormat="1" ht="72" customHeight="1" x14ac:dyDescent="0.2">
      <c r="A80" s="215" t="s">
        <v>150</v>
      </c>
      <c r="B80" s="112" t="s">
        <v>106</v>
      </c>
      <c r="C80" s="321" t="s">
        <v>8</v>
      </c>
      <c r="D80" s="298" t="s">
        <v>158</v>
      </c>
      <c r="E80" s="160">
        <f t="shared" si="25"/>
        <v>356620</v>
      </c>
      <c r="F80" s="78">
        <f t="shared" ref="F80:I80" si="27">F81+F82+F83+F84</f>
        <v>356620</v>
      </c>
      <c r="G80" s="159">
        <f t="shared" si="27"/>
        <v>151914</v>
      </c>
      <c r="H80" s="159">
        <f t="shared" si="27"/>
        <v>23156</v>
      </c>
      <c r="I80" s="103">
        <f t="shared" si="27"/>
        <v>0</v>
      </c>
      <c r="J80" s="134"/>
      <c r="K80" s="80"/>
      <c r="L80" s="77"/>
      <c r="M80" s="77"/>
      <c r="N80" s="77"/>
      <c r="O80" s="81"/>
      <c r="P80" s="262">
        <f>E80+J80</f>
        <v>356620</v>
      </c>
      <c r="Q80" s="48"/>
    </row>
    <row r="81" spans="1:17" s="3" customFormat="1" ht="42" customHeight="1" x14ac:dyDescent="0.2">
      <c r="A81" s="216"/>
      <c r="B81" s="119"/>
      <c r="C81" s="322"/>
      <c r="D81" s="298" t="s">
        <v>143</v>
      </c>
      <c r="E81" s="160">
        <f t="shared" si="25"/>
        <v>82666</v>
      </c>
      <c r="F81" s="78">
        <v>82666</v>
      </c>
      <c r="G81" s="77">
        <v>41626</v>
      </c>
      <c r="H81" s="77">
        <v>4312</v>
      </c>
      <c r="I81" s="247"/>
      <c r="J81" s="166"/>
      <c r="K81" s="167"/>
      <c r="L81" s="79"/>
      <c r="M81" s="79"/>
      <c r="N81" s="79"/>
      <c r="O81" s="247"/>
      <c r="P81" s="262">
        <f>E81+J81</f>
        <v>82666</v>
      </c>
      <c r="Q81" s="48"/>
    </row>
    <row r="82" spans="1:17" s="3" customFormat="1" ht="47.25" customHeight="1" x14ac:dyDescent="0.2">
      <c r="A82" s="216"/>
      <c r="B82" s="119"/>
      <c r="C82" s="322"/>
      <c r="D82" s="298" t="s">
        <v>144</v>
      </c>
      <c r="E82" s="160">
        <f t="shared" si="25"/>
        <v>75647</v>
      </c>
      <c r="F82" s="78">
        <v>75647</v>
      </c>
      <c r="G82" s="77">
        <v>32224</v>
      </c>
      <c r="H82" s="77">
        <v>4912</v>
      </c>
      <c r="I82" s="247"/>
      <c r="J82" s="166"/>
      <c r="K82" s="167"/>
      <c r="L82" s="79"/>
      <c r="M82" s="79"/>
      <c r="N82" s="79"/>
      <c r="O82" s="247"/>
      <c r="P82" s="262">
        <f>E82+J82</f>
        <v>75647</v>
      </c>
      <c r="Q82" s="48"/>
    </row>
    <row r="83" spans="1:17" s="3" customFormat="1" ht="44.25" customHeight="1" x14ac:dyDescent="0.2">
      <c r="A83" s="216"/>
      <c r="B83" s="119"/>
      <c r="C83" s="322"/>
      <c r="D83" s="298" t="s">
        <v>145</v>
      </c>
      <c r="E83" s="160">
        <f t="shared" si="25"/>
        <v>135010</v>
      </c>
      <c r="F83" s="78">
        <v>135010</v>
      </c>
      <c r="G83" s="77">
        <v>51101</v>
      </c>
      <c r="H83" s="77">
        <v>9823</v>
      </c>
      <c r="I83" s="247"/>
      <c r="J83" s="166"/>
      <c r="K83" s="167"/>
      <c r="L83" s="79"/>
      <c r="M83" s="79"/>
      <c r="N83" s="79"/>
      <c r="O83" s="247"/>
      <c r="P83" s="262">
        <f>E83+J83</f>
        <v>135010</v>
      </c>
      <c r="Q83" s="48"/>
    </row>
    <row r="84" spans="1:17" s="3" customFormat="1" ht="45.75" customHeight="1" x14ac:dyDescent="0.2">
      <c r="A84" s="216"/>
      <c r="B84" s="119"/>
      <c r="C84" s="322"/>
      <c r="D84" s="298" t="s">
        <v>146</v>
      </c>
      <c r="E84" s="160">
        <f t="shared" si="25"/>
        <v>63297</v>
      </c>
      <c r="F84" s="78">
        <v>63297</v>
      </c>
      <c r="G84" s="77">
        <v>26963</v>
      </c>
      <c r="H84" s="77">
        <v>4109</v>
      </c>
      <c r="I84" s="247"/>
      <c r="J84" s="166"/>
      <c r="K84" s="167"/>
      <c r="L84" s="79"/>
      <c r="M84" s="79"/>
      <c r="N84" s="79"/>
      <c r="O84" s="247"/>
      <c r="P84" s="262">
        <f t="shared" si="1"/>
        <v>63297</v>
      </c>
      <c r="Q84" s="48"/>
    </row>
    <row r="85" spans="1:17" s="3" customFormat="1" ht="42" customHeight="1" x14ac:dyDescent="0.2">
      <c r="A85" s="215" t="s">
        <v>105</v>
      </c>
      <c r="B85" s="112" t="s">
        <v>107</v>
      </c>
      <c r="C85" s="321" t="s">
        <v>8</v>
      </c>
      <c r="D85" s="298" t="s">
        <v>108</v>
      </c>
      <c r="E85" s="160">
        <f t="shared" si="25"/>
        <v>1499035</v>
      </c>
      <c r="F85" s="80">
        <v>1499035</v>
      </c>
      <c r="G85" s="77">
        <v>1228717</v>
      </c>
      <c r="H85" s="79"/>
      <c r="I85" s="247"/>
      <c r="J85" s="166"/>
      <c r="K85" s="167"/>
      <c r="L85" s="79"/>
      <c r="M85" s="79"/>
      <c r="N85" s="79"/>
      <c r="O85" s="247"/>
      <c r="P85" s="262">
        <f t="shared" si="1"/>
        <v>1499035</v>
      </c>
      <c r="Q85" s="48"/>
    </row>
    <row r="86" spans="1:17" s="3" customFormat="1" ht="126" customHeight="1" x14ac:dyDescent="0.2">
      <c r="A86" s="307" t="s">
        <v>227</v>
      </c>
      <c r="B86" s="309" t="s">
        <v>228</v>
      </c>
      <c r="C86" s="321" t="s">
        <v>8</v>
      </c>
      <c r="D86" s="308" t="s">
        <v>229</v>
      </c>
      <c r="E86" s="160"/>
      <c r="F86" s="80"/>
      <c r="G86" s="77"/>
      <c r="H86" s="79"/>
      <c r="I86" s="247"/>
      <c r="J86" s="134">
        <f>K86</f>
        <v>25803</v>
      </c>
      <c r="K86" s="80">
        <v>25803</v>
      </c>
      <c r="L86" s="77"/>
      <c r="M86" s="77"/>
      <c r="N86" s="77"/>
      <c r="O86" s="81">
        <f>K86</f>
        <v>25803</v>
      </c>
      <c r="P86" s="262">
        <f t="shared" si="1"/>
        <v>25803</v>
      </c>
      <c r="Q86" s="48"/>
    </row>
    <row r="87" spans="1:17" s="3" customFormat="1" ht="108" customHeight="1" x14ac:dyDescent="0.2">
      <c r="A87" s="343" t="s">
        <v>240</v>
      </c>
      <c r="B87" s="344">
        <v>1182</v>
      </c>
      <c r="C87" s="315" t="s">
        <v>8</v>
      </c>
      <c r="D87" s="345" t="s">
        <v>241</v>
      </c>
      <c r="E87" s="160">
        <f>F87</f>
        <v>63331</v>
      </c>
      <c r="F87" s="80">
        <v>63331</v>
      </c>
      <c r="G87" s="77"/>
      <c r="H87" s="79"/>
      <c r="I87" s="247"/>
      <c r="J87" s="134">
        <f>K87</f>
        <v>233251</v>
      </c>
      <c r="K87" s="80">
        <v>233251</v>
      </c>
      <c r="L87" s="77"/>
      <c r="M87" s="77"/>
      <c r="N87" s="77"/>
      <c r="O87" s="81">
        <f>K87</f>
        <v>233251</v>
      </c>
      <c r="P87" s="262">
        <f>O87+E87</f>
        <v>296582</v>
      </c>
      <c r="Q87" s="48"/>
    </row>
    <row r="88" spans="1:17" s="3" customFormat="1" ht="88.5" customHeight="1" x14ac:dyDescent="0.2">
      <c r="A88" s="215" t="s">
        <v>137</v>
      </c>
      <c r="B88" s="112" t="s">
        <v>136</v>
      </c>
      <c r="C88" s="321" t="s">
        <v>8</v>
      </c>
      <c r="D88" s="298" t="s">
        <v>138</v>
      </c>
      <c r="E88" s="160">
        <f t="shared" si="25"/>
        <v>123283</v>
      </c>
      <c r="F88" s="80">
        <v>123283</v>
      </c>
      <c r="G88" s="77">
        <v>99000</v>
      </c>
      <c r="H88" s="77"/>
      <c r="I88" s="81"/>
      <c r="J88" s="134">
        <v>62558</v>
      </c>
      <c r="K88" s="80">
        <v>62558</v>
      </c>
      <c r="L88" s="77"/>
      <c r="M88" s="77"/>
      <c r="N88" s="77"/>
      <c r="O88" s="81">
        <v>62558</v>
      </c>
      <c r="P88" s="262">
        <f>E88+J88</f>
        <v>185841</v>
      </c>
      <c r="Q88" s="48"/>
    </row>
    <row r="89" spans="1:17" s="3" customFormat="1" ht="87" customHeight="1" x14ac:dyDescent="0.2">
      <c r="A89" s="215" t="s">
        <v>174</v>
      </c>
      <c r="B89" s="112" t="s">
        <v>175</v>
      </c>
      <c r="C89" s="321" t="s">
        <v>8</v>
      </c>
      <c r="D89" s="298" t="s">
        <v>176</v>
      </c>
      <c r="E89" s="160">
        <f t="shared" si="25"/>
        <v>67675</v>
      </c>
      <c r="F89" s="80">
        <v>67675</v>
      </c>
      <c r="G89" s="77">
        <v>55471</v>
      </c>
      <c r="H89" s="81"/>
      <c r="I89" s="81"/>
      <c r="J89" s="84">
        <f>K89</f>
        <v>59329</v>
      </c>
      <c r="K89" s="80">
        <v>59329</v>
      </c>
      <c r="L89" s="77"/>
      <c r="M89" s="77"/>
      <c r="N89" s="77"/>
      <c r="O89" s="81">
        <v>59329</v>
      </c>
      <c r="P89" s="262">
        <f t="shared" si="1"/>
        <v>127004</v>
      </c>
      <c r="Q89" s="48"/>
    </row>
    <row r="90" spans="1:17" s="3" customFormat="1" ht="63" customHeight="1" x14ac:dyDescent="0.2">
      <c r="A90" s="215" t="s">
        <v>141</v>
      </c>
      <c r="B90" s="112" t="s">
        <v>38</v>
      </c>
      <c r="C90" s="321" t="s">
        <v>7</v>
      </c>
      <c r="D90" s="298" t="s">
        <v>127</v>
      </c>
      <c r="E90" s="160">
        <f>F90</f>
        <v>170117</v>
      </c>
      <c r="F90" s="78">
        <f>166825+2500+792</f>
        <v>170117</v>
      </c>
      <c r="G90" s="77">
        <v>107756</v>
      </c>
      <c r="H90" s="81">
        <f>36108+2500+198</f>
        <v>38806</v>
      </c>
      <c r="I90" s="81"/>
      <c r="J90" s="166"/>
      <c r="K90" s="167"/>
      <c r="L90" s="79"/>
      <c r="M90" s="79"/>
      <c r="N90" s="79"/>
      <c r="O90" s="247"/>
      <c r="P90" s="262">
        <f t="shared" ref="P90:P127" si="28">E90+J90</f>
        <v>170117</v>
      </c>
      <c r="Q90" s="48"/>
    </row>
    <row r="91" spans="1:17" s="3" customFormat="1" ht="24.75" customHeight="1" x14ac:dyDescent="0.2">
      <c r="A91" s="221" t="s">
        <v>128</v>
      </c>
      <c r="B91" s="112" t="s">
        <v>130</v>
      </c>
      <c r="C91" s="321" t="s">
        <v>129</v>
      </c>
      <c r="D91" s="298" t="s">
        <v>131</v>
      </c>
      <c r="E91" s="160">
        <f>F91</f>
        <v>200000</v>
      </c>
      <c r="F91" s="78">
        <v>200000</v>
      </c>
      <c r="G91" s="77"/>
      <c r="H91" s="77"/>
      <c r="I91" s="81"/>
      <c r="J91" s="134"/>
      <c r="K91" s="80"/>
      <c r="L91" s="77"/>
      <c r="M91" s="77"/>
      <c r="N91" s="79"/>
      <c r="O91" s="247"/>
      <c r="P91" s="262">
        <f t="shared" si="28"/>
        <v>200000</v>
      </c>
      <c r="Q91" s="48"/>
    </row>
    <row r="92" spans="1:17" s="3" customFormat="1" ht="36.75" customHeight="1" x14ac:dyDescent="0.2">
      <c r="A92" s="307" t="s">
        <v>230</v>
      </c>
      <c r="B92" s="310">
        <v>7325</v>
      </c>
      <c r="C92" s="321" t="s">
        <v>172</v>
      </c>
      <c r="D92" s="308" t="s">
        <v>231</v>
      </c>
      <c r="E92" s="160"/>
      <c r="F92" s="78"/>
      <c r="G92" s="77"/>
      <c r="H92" s="77"/>
      <c r="I92" s="81"/>
      <c r="J92" s="134">
        <f>K92</f>
        <v>46976</v>
      </c>
      <c r="K92" s="80">
        <v>46976</v>
      </c>
      <c r="L92" s="77"/>
      <c r="M92" s="77"/>
      <c r="N92" s="79"/>
      <c r="O92" s="81">
        <f>K92</f>
        <v>46976</v>
      </c>
      <c r="P92" s="262">
        <f t="shared" si="28"/>
        <v>46976</v>
      </c>
      <c r="Q92" s="48"/>
    </row>
    <row r="93" spans="1:17" s="3" customFormat="1" ht="62.1" customHeight="1" x14ac:dyDescent="0.2">
      <c r="A93" s="221" t="s">
        <v>220</v>
      </c>
      <c r="B93" s="112" t="s">
        <v>214</v>
      </c>
      <c r="C93" s="321" t="s">
        <v>120</v>
      </c>
      <c r="D93" s="298" t="s">
        <v>221</v>
      </c>
      <c r="E93" s="160"/>
      <c r="F93" s="78"/>
      <c r="G93" s="77"/>
      <c r="H93" s="77"/>
      <c r="I93" s="81"/>
      <c r="J93" s="134">
        <f>L93+O93</f>
        <v>4400417</v>
      </c>
      <c r="K93" s="80">
        <f>O93</f>
        <v>4400417</v>
      </c>
      <c r="L93" s="77"/>
      <c r="M93" s="77"/>
      <c r="N93" s="79"/>
      <c r="O93" s="81">
        <f>51245+4349172</f>
        <v>4400417</v>
      </c>
      <c r="P93" s="262">
        <f t="shared" si="28"/>
        <v>4400417</v>
      </c>
      <c r="Q93" s="48"/>
    </row>
    <row r="94" spans="1:17" s="3" customFormat="1" ht="44.25" customHeight="1" thickBot="1" x14ac:dyDescent="0.25">
      <c r="A94" s="295" t="s">
        <v>222</v>
      </c>
      <c r="B94" s="297" t="s">
        <v>119</v>
      </c>
      <c r="C94" s="323" t="s">
        <v>120</v>
      </c>
      <c r="D94" s="300" t="s">
        <v>125</v>
      </c>
      <c r="E94" s="273">
        <f>F94</f>
        <v>41211</v>
      </c>
      <c r="F94" s="188">
        <v>41211</v>
      </c>
      <c r="G94" s="189"/>
      <c r="H94" s="189"/>
      <c r="I94" s="190"/>
      <c r="J94" s="187"/>
      <c r="K94" s="191"/>
      <c r="L94" s="189"/>
      <c r="M94" s="189"/>
      <c r="N94" s="192"/>
      <c r="O94" s="190"/>
      <c r="P94" s="262">
        <f t="shared" si="28"/>
        <v>41211</v>
      </c>
      <c r="Q94" s="48"/>
    </row>
    <row r="95" spans="1:17" s="3" customFormat="1" ht="45" customHeight="1" thickBot="1" x14ac:dyDescent="0.25">
      <c r="A95" s="285" t="s">
        <v>179</v>
      </c>
      <c r="B95" s="286"/>
      <c r="C95" s="287"/>
      <c r="D95" s="288" t="s">
        <v>178</v>
      </c>
      <c r="E95" s="289">
        <f>E96</f>
        <v>1876191.27</v>
      </c>
      <c r="F95" s="290">
        <f t="shared" ref="F95:P95" si="29">F96</f>
        <v>1876191.27</v>
      </c>
      <c r="G95" s="291">
        <f t="shared" si="29"/>
        <v>1346158</v>
      </c>
      <c r="H95" s="291">
        <f t="shared" si="29"/>
        <v>12169</v>
      </c>
      <c r="I95" s="292">
        <f t="shared" si="29"/>
        <v>0</v>
      </c>
      <c r="J95" s="293">
        <f t="shared" si="29"/>
        <v>11000</v>
      </c>
      <c r="K95" s="294">
        <f t="shared" si="29"/>
        <v>11000</v>
      </c>
      <c r="L95" s="291">
        <f t="shared" si="29"/>
        <v>0</v>
      </c>
      <c r="M95" s="291">
        <f t="shared" si="29"/>
        <v>0</v>
      </c>
      <c r="N95" s="291">
        <f t="shared" si="29"/>
        <v>0</v>
      </c>
      <c r="O95" s="292">
        <f t="shared" si="29"/>
        <v>11000</v>
      </c>
      <c r="P95" s="289">
        <f t="shared" si="29"/>
        <v>1887191.27</v>
      </c>
      <c r="Q95" s="48"/>
    </row>
    <row r="96" spans="1:17" s="3" customFormat="1" ht="42" customHeight="1" thickBot="1" x14ac:dyDescent="0.25">
      <c r="A96" s="274" t="s">
        <v>177</v>
      </c>
      <c r="B96" s="275"/>
      <c r="C96" s="276"/>
      <c r="D96" s="277" t="s">
        <v>178</v>
      </c>
      <c r="E96" s="278">
        <f>E97+E98+E99+E100+E101+E102+E103+E104+E105+E106+E107</f>
        <v>1876191.27</v>
      </c>
      <c r="F96" s="279">
        <f t="shared" ref="F96:O96" si="30">F97+F98+F99+F100+F101+F102+F103+F104+F105+F106+F107</f>
        <v>1876191.27</v>
      </c>
      <c r="G96" s="280">
        <f t="shared" si="30"/>
        <v>1346158</v>
      </c>
      <c r="H96" s="280">
        <f t="shared" si="30"/>
        <v>12169</v>
      </c>
      <c r="I96" s="281">
        <f t="shared" si="30"/>
        <v>0</v>
      </c>
      <c r="J96" s="282">
        <f t="shared" si="30"/>
        <v>11000</v>
      </c>
      <c r="K96" s="283">
        <f t="shared" si="30"/>
        <v>11000</v>
      </c>
      <c r="L96" s="280">
        <f t="shared" si="30"/>
        <v>0</v>
      </c>
      <c r="M96" s="280">
        <f t="shared" si="30"/>
        <v>0</v>
      </c>
      <c r="N96" s="280">
        <f t="shared" si="30"/>
        <v>0</v>
      </c>
      <c r="O96" s="281">
        <f t="shared" si="30"/>
        <v>11000</v>
      </c>
      <c r="P96" s="284">
        <f>E96+J96</f>
        <v>1887191.27</v>
      </c>
      <c r="Q96" s="48"/>
    </row>
    <row r="97" spans="1:17" s="3" customFormat="1" ht="70.5" customHeight="1" x14ac:dyDescent="0.2">
      <c r="A97" s="214" t="s">
        <v>180</v>
      </c>
      <c r="B97" s="104" t="s">
        <v>36</v>
      </c>
      <c r="C97" s="105" t="s">
        <v>5</v>
      </c>
      <c r="D97" s="200" t="s">
        <v>72</v>
      </c>
      <c r="E97" s="156">
        <f t="shared" ref="E97:E98" si="31">F97</f>
        <v>816472</v>
      </c>
      <c r="F97" s="157">
        <f>805312+1160+10000</f>
        <v>816472</v>
      </c>
      <c r="G97" s="108">
        <v>648230</v>
      </c>
      <c r="H97" s="108">
        <v>6131</v>
      </c>
      <c r="I97" s="246"/>
      <c r="J97" s="84">
        <f>K97</f>
        <v>11000</v>
      </c>
      <c r="K97" s="107">
        <v>11000</v>
      </c>
      <c r="L97" s="108"/>
      <c r="M97" s="108"/>
      <c r="N97" s="171"/>
      <c r="O97" s="246">
        <v>11000</v>
      </c>
      <c r="P97" s="341">
        <f t="shared" si="28"/>
        <v>827472</v>
      </c>
      <c r="Q97" s="48"/>
    </row>
    <row r="98" spans="1:17" s="3" customFormat="1" ht="52.5" customHeight="1" x14ac:dyDescent="0.2">
      <c r="A98" s="215" t="s">
        <v>187</v>
      </c>
      <c r="B98" s="112" t="s">
        <v>55</v>
      </c>
      <c r="C98" s="113" t="s">
        <v>16</v>
      </c>
      <c r="D98" s="100" t="s">
        <v>61</v>
      </c>
      <c r="E98" s="84">
        <f t="shared" si="31"/>
        <v>400</v>
      </c>
      <c r="F98" s="163">
        <v>400</v>
      </c>
      <c r="G98" s="114"/>
      <c r="H98" s="114"/>
      <c r="I98" s="207"/>
      <c r="J98" s="84"/>
      <c r="K98" s="121"/>
      <c r="L98" s="114"/>
      <c r="M98" s="114"/>
      <c r="N98" s="114"/>
      <c r="O98" s="207"/>
      <c r="P98" s="269">
        <f t="shared" si="28"/>
        <v>400</v>
      </c>
      <c r="Q98" s="48"/>
    </row>
    <row r="99" spans="1:17" s="3" customFormat="1" ht="46.5" customHeight="1" x14ac:dyDescent="0.2">
      <c r="A99" s="215" t="s">
        <v>188</v>
      </c>
      <c r="B99" s="112" t="s">
        <v>57</v>
      </c>
      <c r="C99" s="113" t="s">
        <v>63</v>
      </c>
      <c r="D99" s="100" t="s">
        <v>64</v>
      </c>
      <c r="E99" s="124">
        <f t="shared" ref="E99:E107" si="32">F99</f>
        <v>10358.77</v>
      </c>
      <c r="F99" s="125">
        <v>10358.77</v>
      </c>
      <c r="G99" s="172"/>
      <c r="H99" s="172"/>
      <c r="I99" s="248"/>
      <c r="J99" s="173"/>
      <c r="K99" s="174"/>
      <c r="L99" s="172"/>
      <c r="M99" s="172"/>
      <c r="N99" s="172"/>
      <c r="O99" s="248"/>
      <c r="P99" s="270">
        <f t="shared" si="28"/>
        <v>10358.77</v>
      </c>
      <c r="Q99" s="48"/>
    </row>
    <row r="100" spans="1:17" s="3" customFormat="1" ht="63.75" customHeight="1" x14ac:dyDescent="0.2">
      <c r="A100" s="215" t="s">
        <v>189</v>
      </c>
      <c r="B100" s="112" t="s">
        <v>60</v>
      </c>
      <c r="C100" s="113" t="s">
        <v>63</v>
      </c>
      <c r="D100" s="100" t="s">
        <v>73</v>
      </c>
      <c r="E100" s="135">
        <f t="shared" si="32"/>
        <v>2400</v>
      </c>
      <c r="F100" s="80">
        <v>2400</v>
      </c>
      <c r="G100" s="114"/>
      <c r="H100" s="114"/>
      <c r="I100" s="207"/>
      <c r="J100" s="84"/>
      <c r="K100" s="121"/>
      <c r="L100" s="114"/>
      <c r="M100" s="114"/>
      <c r="N100" s="114"/>
      <c r="O100" s="207"/>
      <c r="P100" s="262">
        <f t="shared" si="28"/>
        <v>2400</v>
      </c>
      <c r="Q100" s="48"/>
    </row>
    <row r="101" spans="1:17" s="3" customFormat="1" ht="64.5" customHeight="1" x14ac:dyDescent="0.2">
      <c r="A101" s="215" t="s">
        <v>190</v>
      </c>
      <c r="B101" s="112" t="s">
        <v>70</v>
      </c>
      <c r="C101" s="113" t="s">
        <v>63</v>
      </c>
      <c r="D101" s="100" t="s">
        <v>88</v>
      </c>
      <c r="E101" s="135">
        <f t="shared" si="32"/>
        <v>16700</v>
      </c>
      <c r="F101" s="163">
        <v>16700</v>
      </c>
      <c r="G101" s="114"/>
      <c r="H101" s="114"/>
      <c r="I101" s="207"/>
      <c r="J101" s="84"/>
      <c r="K101" s="121"/>
      <c r="L101" s="114"/>
      <c r="M101" s="114"/>
      <c r="N101" s="114"/>
      <c r="O101" s="207"/>
      <c r="P101" s="262">
        <f t="shared" si="28"/>
        <v>16700</v>
      </c>
      <c r="Q101" s="48"/>
    </row>
    <row r="102" spans="1:17" s="3" customFormat="1" ht="53.25" customHeight="1" x14ac:dyDescent="0.2">
      <c r="A102" s="215" t="s">
        <v>191</v>
      </c>
      <c r="B102" s="112" t="s">
        <v>67</v>
      </c>
      <c r="C102" s="113" t="s">
        <v>16</v>
      </c>
      <c r="D102" s="100" t="s">
        <v>74</v>
      </c>
      <c r="E102" s="84">
        <f t="shared" si="32"/>
        <v>7100</v>
      </c>
      <c r="F102" s="163">
        <v>7100</v>
      </c>
      <c r="G102" s="114"/>
      <c r="H102" s="114"/>
      <c r="I102" s="207"/>
      <c r="J102" s="84"/>
      <c r="K102" s="121"/>
      <c r="L102" s="114"/>
      <c r="M102" s="114"/>
      <c r="N102" s="114"/>
      <c r="O102" s="207"/>
      <c r="P102" s="262">
        <f t="shared" si="28"/>
        <v>7100</v>
      </c>
      <c r="Q102" s="48"/>
    </row>
    <row r="103" spans="1:17" s="3" customFormat="1" ht="83.25" customHeight="1" x14ac:dyDescent="0.2">
      <c r="A103" s="217" t="s">
        <v>192</v>
      </c>
      <c r="B103" s="136" t="s">
        <v>193</v>
      </c>
      <c r="C103" s="83" t="s">
        <v>194</v>
      </c>
      <c r="D103" s="232" t="s">
        <v>195</v>
      </c>
      <c r="E103" s="84">
        <f t="shared" si="32"/>
        <v>895090</v>
      </c>
      <c r="F103" s="175">
        <f>864890+30200</f>
        <v>895090</v>
      </c>
      <c r="G103" s="114">
        <v>697928</v>
      </c>
      <c r="H103" s="114">
        <v>6038</v>
      </c>
      <c r="I103" s="207"/>
      <c r="J103" s="84"/>
      <c r="K103" s="121"/>
      <c r="L103" s="114"/>
      <c r="M103" s="114"/>
      <c r="N103" s="114"/>
      <c r="O103" s="207"/>
      <c r="P103" s="262">
        <f t="shared" si="28"/>
        <v>895090</v>
      </c>
      <c r="Q103" s="48"/>
    </row>
    <row r="104" spans="1:17" s="3" customFormat="1" ht="120.75" customHeight="1" x14ac:dyDescent="0.2">
      <c r="A104" s="222" t="s">
        <v>181</v>
      </c>
      <c r="B104" s="82" t="s">
        <v>182</v>
      </c>
      <c r="C104" s="83" t="s">
        <v>15</v>
      </c>
      <c r="D104" s="100" t="s">
        <v>183</v>
      </c>
      <c r="E104" s="84">
        <f t="shared" si="32"/>
        <v>45969</v>
      </c>
      <c r="F104" s="85">
        <v>45969</v>
      </c>
      <c r="G104" s="77"/>
      <c r="H104" s="77"/>
      <c r="I104" s="81"/>
      <c r="J104" s="134"/>
      <c r="K104" s="80"/>
      <c r="L104" s="77"/>
      <c r="M104" s="77"/>
      <c r="N104" s="79"/>
      <c r="O104" s="247"/>
      <c r="P104" s="262">
        <f t="shared" si="28"/>
        <v>45969</v>
      </c>
      <c r="Q104" s="48"/>
    </row>
    <row r="105" spans="1:17" s="3" customFormat="1" ht="88.5" customHeight="1" x14ac:dyDescent="0.2">
      <c r="A105" s="215" t="s">
        <v>184</v>
      </c>
      <c r="B105" s="112" t="s">
        <v>69</v>
      </c>
      <c r="C105" s="113" t="s">
        <v>15</v>
      </c>
      <c r="D105" s="100" t="s">
        <v>75</v>
      </c>
      <c r="E105" s="124">
        <f t="shared" si="32"/>
        <v>1172.72</v>
      </c>
      <c r="F105" s="129">
        <v>1172.72</v>
      </c>
      <c r="G105" s="77"/>
      <c r="H105" s="77"/>
      <c r="I105" s="81"/>
      <c r="J105" s="134"/>
      <c r="K105" s="80"/>
      <c r="L105" s="77"/>
      <c r="M105" s="77"/>
      <c r="N105" s="79"/>
      <c r="O105" s="247"/>
      <c r="P105" s="264">
        <f t="shared" si="28"/>
        <v>1172.72</v>
      </c>
      <c r="Q105" s="48"/>
    </row>
    <row r="106" spans="1:17" s="3" customFormat="1" ht="104.25" customHeight="1" x14ac:dyDescent="0.2">
      <c r="A106" s="215" t="s">
        <v>185</v>
      </c>
      <c r="B106" s="112" t="s">
        <v>59</v>
      </c>
      <c r="C106" s="113" t="s">
        <v>62</v>
      </c>
      <c r="D106" s="100" t="s">
        <v>65</v>
      </c>
      <c r="E106" s="132">
        <f t="shared" si="32"/>
        <v>13528.78</v>
      </c>
      <c r="F106" s="129">
        <v>13528.78</v>
      </c>
      <c r="G106" s="77"/>
      <c r="H106" s="77"/>
      <c r="I106" s="81"/>
      <c r="J106" s="134"/>
      <c r="K106" s="80"/>
      <c r="L106" s="77"/>
      <c r="M106" s="77"/>
      <c r="N106" s="79"/>
      <c r="O106" s="247"/>
      <c r="P106" s="264">
        <f t="shared" si="28"/>
        <v>13528.78</v>
      </c>
      <c r="Q106" s="48"/>
    </row>
    <row r="107" spans="1:17" s="3" customFormat="1" ht="46.5" customHeight="1" x14ac:dyDescent="0.2">
      <c r="A107" s="215" t="s">
        <v>186</v>
      </c>
      <c r="B107" s="112" t="s">
        <v>24</v>
      </c>
      <c r="C107" s="113" t="s">
        <v>16</v>
      </c>
      <c r="D107" s="229" t="s">
        <v>148</v>
      </c>
      <c r="E107" s="176">
        <f t="shared" si="32"/>
        <v>67000</v>
      </c>
      <c r="F107" s="129">
        <f>F108+F109+F110</f>
        <v>67000</v>
      </c>
      <c r="G107" s="77"/>
      <c r="H107" s="77"/>
      <c r="I107" s="81"/>
      <c r="J107" s="134"/>
      <c r="K107" s="80"/>
      <c r="L107" s="77"/>
      <c r="M107" s="77"/>
      <c r="N107" s="79"/>
      <c r="O107" s="247"/>
      <c r="P107" s="262">
        <f t="shared" si="28"/>
        <v>67000</v>
      </c>
      <c r="Q107" s="48"/>
    </row>
    <row r="108" spans="1:17" s="3" customFormat="1" ht="72.75" customHeight="1" x14ac:dyDescent="0.2">
      <c r="A108" s="215"/>
      <c r="B108" s="112"/>
      <c r="C108" s="113"/>
      <c r="D108" s="229" t="s">
        <v>112</v>
      </c>
      <c r="E108" s="176">
        <f t="shared" ref="E108:E110" si="33">F108</f>
        <v>55000</v>
      </c>
      <c r="F108" s="129">
        <v>55000</v>
      </c>
      <c r="G108" s="77"/>
      <c r="H108" s="77"/>
      <c r="I108" s="81"/>
      <c r="J108" s="134"/>
      <c r="K108" s="80"/>
      <c r="L108" s="77"/>
      <c r="M108" s="77"/>
      <c r="N108" s="79"/>
      <c r="O108" s="247"/>
      <c r="P108" s="262">
        <f t="shared" si="28"/>
        <v>55000</v>
      </c>
      <c r="Q108" s="48"/>
    </row>
    <row r="109" spans="1:17" s="3" customFormat="1" ht="148.5" customHeight="1" x14ac:dyDescent="0.2">
      <c r="A109" s="215"/>
      <c r="B109" s="112"/>
      <c r="C109" s="113"/>
      <c r="D109" s="229" t="s">
        <v>114</v>
      </c>
      <c r="E109" s="134">
        <f t="shared" si="33"/>
        <v>5000</v>
      </c>
      <c r="F109" s="78">
        <v>5000</v>
      </c>
      <c r="G109" s="77"/>
      <c r="H109" s="77"/>
      <c r="I109" s="81"/>
      <c r="J109" s="134"/>
      <c r="K109" s="80"/>
      <c r="L109" s="77"/>
      <c r="M109" s="77"/>
      <c r="N109" s="79"/>
      <c r="O109" s="247"/>
      <c r="P109" s="262">
        <f t="shared" si="28"/>
        <v>5000</v>
      </c>
      <c r="Q109" s="48"/>
    </row>
    <row r="110" spans="1:17" s="3" customFormat="1" ht="46.5" customHeight="1" thickBot="1" x14ac:dyDescent="0.25">
      <c r="A110" s="217"/>
      <c r="B110" s="136"/>
      <c r="C110" s="83"/>
      <c r="D110" s="101" t="s">
        <v>143</v>
      </c>
      <c r="E110" s="137">
        <f t="shared" si="33"/>
        <v>7000</v>
      </c>
      <c r="F110" s="177">
        <v>7000</v>
      </c>
      <c r="G110" s="139"/>
      <c r="H110" s="139"/>
      <c r="I110" s="249"/>
      <c r="J110" s="137"/>
      <c r="K110" s="138"/>
      <c r="L110" s="139"/>
      <c r="M110" s="139"/>
      <c r="N110" s="178"/>
      <c r="O110" s="258"/>
      <c r="P110" s="266">
        <f t="shared" si="28"/>
        <v>7000</v>
      </c>
      <c r="Q110" s="48"/>
    </row>
    <row r="111" spans="1:17" s="3" customFormat="1" ht="46.5" customHeight="1" x14ac:dyDescent="0.2">
      <c r="A111" s="218" t="s">
        <v>196</v>
      </c>
      <c r="B111" s="142"/>
      <c r="C111" s="144"/>
      <c r="D111" s="230" t="s">
        <v>198</v>
      </c>
      <c r="E111" s="179">
        <f>E112</f>
        <v>448738</v>
      </c>
      <c r="F111" s="180">
        <f t="shared" ref="F111:P111" si="34">F112</f>
        <v>448738</v>
      </c>
      <c r="G111" s="181">
        <f t="shared" si="34"/>
        <v>356895</v>
      </c>
      <c r="H111" s="181">
        <f t="shared" si="34"/>
        <v>5946</v>
      </c>
      <c r="I111" s="244">
        <f t="shared" si="34"/>
        <v>0</v>
      </c>
      <c r="J111" s="179">
        <f t="shared" si="34"/>
        <v>0</v>
      </c>
      <c r="K111" s="180">
        <f t="shared" si="34"/>
        <v>0</v>
      </c>
      <c r="L111" s="181">
        <f t="shared" si="34"/>
        <v>0</v>
      </c>
      <c r="M111" s="181">
        <f t="shared" si="34"/>
        <v>0</v>
      </c>
      <c r="N111" s="181">
        <f t="shared" si="34"/>
        <v>0</v>
      </c>
      <c r="O111" s="244">
        <f t="shared" si="34"/>
        <v>0</v>
      </c>
      <c r="P111" s="179">
        <f t="shared" si="34"/>
        <v>448738</v>
      </c>
      <c r="Q111" s="48"/>
    </row>
    <row r="112" spans="1:17" s="3" customFormat="1" ht="46.5" customHeight="1" thickBot="1" x14ac:dyDescent="0.25">
      <c r="A112" s="219" t="s">
        <v>197</v>
      </c>
      <c r="B112" s="152"/>
      <c r="C112" s="154"/>
      <c r="D112" s="231" t="s">
        <v>198</v>
      </c>
      <c r="E112" s="182">
        <f>E113</f>
        <v>448738</v>
      </c>
      <c r="F112" s="183">
        <f t="shared" ref="F112:P112" si="35">F113</f>
        <v>448738</v>
      </c>
      <c r="G112" s="184">
        <f t="shared" si="35"/>
        <v>356895</v>
      </c>
      <c r="H112" s="184">
        <f t="shared" si="35"/>
        <v>5946</v>
      </c>
      <c r="I112" s="250">
        <f t="shared" si="35"/>
        <v>0</v>
      </c>
      <c r="J112" s="182">
        <f t="shared" si="35"/>
        <v>0</v>
      </c>
      <c r="K112" s="183">
        <f t="shared" si="35"/>
        <v>0</v>
      </c>
      <c r="L112" s="184">
        <f t="shared" si="35"/>
        <v>0</v>
      </c>
      <c r="M112" s="184">
        <f t="shared" si="35"/>
        <v>0</v>
      </c>
      <c r="N112" s="184">
        <f t="shared" si="35"/>
        <v>0</v>
      </c>
      <c r="O112" s="250">
        <f t="shared" si="35"/>
        <v>0</v>
      </c>
      <c r="P112" s="182">
        <f t="shared" si="35"/>
        <v>448738</v>
      </c>
      <c r="Q112" s="48"/>
    </row>
    <row r="113" spans="1:17" s="3" customFormat="1" ht="67.5" customHeight="1" thickBot="1" x14ac:dyDescent="0.25">
      <c r="A113" s="223" t="s">
        <v>199</v>
      </c>
      <c r="B113" s="185" t="s">
        <v>36</v>
      </c>
      <c r="C113" s="186" t="s">
        <v>5</v>
      </c>
      <c r="D113" s="232" t="s">
        <v>72</v>
      </c>
      <c r="E113" s="187">
        <f t="shared" ref="E113" si="36">F113</f>
        <v>448738</v>
      </c>
      <c r="F113" s="188">
        <f>497117-48379</f>
        <v>448738</v>
      </c>
      <c r="G113" s="189">
        <f>396550-39655</f>
        <v>356895</v>
      </c>
      <c r="H113" s="190">
        <v>5946</v>
      </c>
      <c r="I113" s="190"/>
      <c r="J113" s="187"/>
      <c r="K113" s="191"/>
      <c r="L113" s="189"/>
      <c r="M113" s="189"/>
      <c r="N113" s="192"/>
      <c r="O113" s="259"/>
      <c r="P113" s="268">
        <f t="shared" si="28"/>
        <v>448738</v>
      </c>
      <c r="Q113" s="48"/>
    </row>
    <row r="114" spans="1:17" s="3" customFormat="1" ht="42.75" customHeight="1" x14ac:dyDescent="0.2">
      <c r="A114" s="218" t="s">
        <v>89</v>
      </c>
      <c r="B114" s="142"/>
      <c r="C114" s="144"/>
      <c r="D114" s="230" t="s">
        <v>95</v>
      </c>
      <c r="E114" s="145">
        <f>E115</f>
        <v>3963421</v>
      </c>
      <c r="F114" s="146">
        <f t="shared" ref="F114:H114" si="37">F115</f>
        <v>3963421</v>
      </c>
      <c r="G114" s="147">
        <f t="shared" si="37"/>
        <v>938700</v>
      </c>
      <c r="H114" s="193">
        <f t="shared" si="37"/>
        <v>15228</v>
      </c>
      <c r="I114" s="244">
        <v>0</v>
      </c>
      <c r="J114" s="194">
        <f t="shared" ref="J114" si="38">K114+N114</f>
        <v>0</v>
      </c>
      <c r="K114" s="195">
        <v>0</v>
      </c>
      <c r="L114" s="151">
        <v>0</v>
      </c>
      <c r="M114" s="151">
        <v>0</v>
      </c>
      <c r="N114" s="151">
        <v>0</v>
      </c>
      <c r="O114" s="260">
        <v>0</v>
      </c>
      <c r="P114" s="179">
        <f t="shared" si="28"/>
        <v>3963421</v>
      </c>
      <c r="Q114" s="48"/>
    </row>
    <row r="115" spans="1:17" s="3" customFormat="1" ht="48.75" customHeight="1" thickBot="1" x14ac:dyDescent="0.25">
      <c r="A115" s="219" t="s">
        <v>90</v>
      </c>
      <c r="B115" s="152"/>
      <c r="C115" s="154"/>
      <c r="D115" s="231" t="s">
        <v>95</v>
      </c>
      <c r="E115" s="155">
        <f>E116+E118+E119+E117+E127</f>
        <v>3963421</v>
      </c>
      <c r="F115" s="170">
        <f>F116+F118+F119+F117+F127</f>
        <v>3963421</v>
      </c>
      <c r="G115" s="169">
        <f t="shared" ref="G115:H115" si="39">G116+G118+G119+G117</f>
        <v>938700</v>
      </c>
      <c r="H115" s="196">
        <f t="shared" si="39"/>
        <v>15228</v>
      </c>
      <c r="I115" s="251">
        <v>0</v>
      </c>
      <c r="J115" s="197">
        <v>0</v>
      </c>
      <c r="K115" s="198">
        <v>0</v>
      </c>
      <c r="L115" s="199">
        <v>0</v>
      </c>
      <c r="M115" s="199">
        <v>0</v>
      </c>
      <c r="N115" s="199">
        <v>0</v>
      </c>
      <c r="O115" s="251">
        <v>0</v>
      </c>
      <c r="P115" s="182">
        <f>E115+J115</f>
        <v>3963421</v>
      </c>
      <c r="Q115" s="48"/>
    </row>
    <row r="116" spans="1:17" s="3" customFormat="1" ht="71.25" customHeight="1" x14ac:dyDescent="0.2">
      <c r="A116" s="214" t="s">
        <v>91</v>
      </c>
      <c r="B116" s="104" t="s">
        <v>36</v>
      </c>
      <c r="C116" s="105" t="s">
        <v>5</v>
      </c>
      <c r="D116" s="328" t="s">
        <v>72</v>
      </c>
      <c r="E116" s="332">
        <f>F116</f>
        <v>1240591</v>
      </c>
      <c r="F116" s="338">
        <f>1224018+13049+3524</f>
        <v>1240591</v>
      </c>
      <c r="G116" s="201">
        <v>938700</v>
      </c>
      <c r="H116" s="202">
        <f>11704+3524</f>
        <v>15228</v>
      </c>
      <c r="I116" s="252"/>
      <c r="J116" s="203"/>
      <c r="K116" s="204"/>
      <c r="L116" s="205"/>
      <c r="M116" s="205"/>
      <c r="N116" s="205"/>
      <c r="O116" s="252"/>
      <c r="P116" s="267">
        <f t="shared" si="28"/>
        <v>1240591</v>
      </c>
      <c r="Q116" s="48"/>
    </row>
    <row r="117" spans="1:17" s="3" customFormat="1" ht="22.5" customHeight="1" x14ac:dyDescent="0.2">
      <c r="A117" s="223" t="s">
        <v>132</v>
      </c>
      <c r="B117" s="185" t="s">
        <v>133</v>
      </c>
      <c r="C117" s="186" t="s">
        <v>11</v>
      </c>
      <c r="D117" s="329" t="s">
        <v>134</v>
      </c>
      <c r="E117" s="333">
        <f t="shared" ref="E117:E118" si="40">F117</f>
        <v>668700</v>
      </c>
      <c r="F117" s="135">
        <v>668700</v>
      </c>
      <c r="G117" s="163"/>
      <c r="H117" s="206"/>
      <c r="I117" s="207"/>
      <c r="J117" s="84"/>
      <c r="K117" s="115"/>
      <c r="L117" s="114"/>
      <c r="M117" s="114"/>
      <c r="N117" s="114"/>
      <c r="O117" s="207"/>
      <c r="P117" s="262">
        <f t="shared" si="28"/>
        <v>668700</v>
      </c>
      <c r="Q117" s="48"/>
    </row>
    <row r="118" spans="1:17" s="3" customFormat="1" ht="90" customHeight="1" x14ac:dyDescent="0.2">
      <c r="A118" s="217" t="s">
        <v>92</v>
      </c>
      <c r="B118" s="136" t="s">
        <v>71</v>
      </c>
      <c r="C118" s="83" t="s">
        <v>11</v>
      </c>
      <c r="D118" s="329" t="s">
        <v>206</v>
      </c>
      <c r="E118" s="334">
        <f t="shared" si="40"/>
        <v>149500</v>
      </c>
      <c r="F118" s="160">
        <f>99700+49800</f>
        <v>149500</v>
      </c>
      <c r="G118" s="121"/>
      <c r="H118" s="207"/>
      <c r="I118" s="207"/>
      <c r="J118" s="84"/>
      <c r="K118" s="115"/>
      <c r="L118" s="114"/>
      <c r="M118" s="114"/>
      <c r="N118" s="114"/>
      <c r="O118" s="207"/>
      <c r="P118" s="262">
        <f t="shared" si="28"/>
        <v>149500</v>
      </c>
      <c r="Q118" s="48"/>
    </row>
    <row r="119" spans="1:17" s="3" customFormat="1" ht="40.5" customHeight="1" x14ac:dyDescent="0.2">
      <c r="A119" s="215" t="s">
        <v>93</v>
      </c>
      <c r="B119" s="112" t="s">
        <v>31</v>
      </c>
      <c r="C119" s="113" t="s">
        <v>11</v>
      </c>
      <c r="D119" s="329" t="s">
        <v>159</v>
      </c>
      <c r="E119" s="103">
        <f>F119</f>
        <v>1893630</v>
      </c>
      <c r="F119" s="160">
        <f>F120+F121+F122+F123+F125+F124+F126</f>
        <v>1893630</v>
      </c>
      <c r="G119" s="78"/>
      <c r="H119" s="208"/>
      <c r="I119" s="208"/>
      <c r="J119" s="160"/>
      <c r="K119" s="78"/>
      <c r="L119" s="161"/>
      <c r="M119" s="161"/>
      <c r="N119" s="161"/>
      <c r="O119" s="261"/>
      <c r="P119" s="271">
        <f>P120+P121+P122+P123+P125+P124+P126</f>
        <v>1893630</v>
      </c>
      <c r="Q119" s="48"/>
    </row>
    <row r="120" spans="1:17" s="3" customFormat="1" ht="69.75" customHeight="1" x14ac:dyDescent="0.2">
      <c r="A120" s="216"/>
      <c r="B120" s="119"/>
      <c r="C120" s="120"/>
      <c r="D120" s="329" t="s">
        <v>161</v>
      </c>
      <c r="E120" s="103">
        <f t="shared" ref="E120:E127" si="41">F120</f>
        <v>13707</v>
      </c>
      <c r="F120" s="160">
        <f>106103-92396</f>
        <v>13707</v>
      </c>
      <c r="G120" s="121"/>
      <c r="H120" s="207"/>
      <c r="I120" s="207"/>
      <c r="J120" s="84"/>
      <c r="K120" s="115"/>
      <c r="L120" s="114"/>
      <c r="M120" s="114"/>
      <c r="N120" s="114"/>
      <c r="O120" s="207"/>
      <c r="P120" s="262">
        <f t="shared" si="28"/>
        <v>13707</v>
      </c>
      <c r="Q120" s="48"/>
    </row>
    <row r="121" spans="1:17" s="3" customFormat="1" ht="63.75" customHeight="1" x14ac:dyDescent="0.2">
      <c r="A121" s="216"/>
      <c r="B121" s="119"/>
      <c r="C121" s="120"/>
      <c r="D121" s="329" t="s">
        <v>162</v>
      </c>
      <c r="E121" s="103">
        <f t="shared" si="41"/>
        <v>31702</v>
      </c>
      <c r="F121" s="160">
        <v>31702</v>
      </c>
      <c r="G121" s="121"/>
      <c r="H121" s="114"/>
      <c r="I121" s="207"/>
      <c r="J121" s="84"/>
      <c r="K121" s="110"/>
      <c r="L121" s="111"/>
      <c r="M121" s="111"/>
      <c r="N121" s="111"/>
      <c r="O121" s="254"/>
      <c r="P121" s="262">
        <f t="shared" si="28"/>
        <v>31702</v>
      </c>
      <c r="Q121" s="48"/>
    </row>
    <row r="122" spans="1:17" s="3" customFormat="1" ht="126.75" customHeight="1" x14ac:dyDescent="0.2">
      <c r="A122" s="216"/>
      <c r="B122" s="119"/>
      <c r="C122" s="120"/>
      <c r="D122" s="329" t="s">
        <v>164</v>
      </c>
      <c r="E122" s="103">
        <f t="shared" si="41"/>
        <v>29069</v>
      </c>
      <c r="F122" s="160">
        <f>514586-485517</f>
        <v>29069</v>
      </c>
      <c r="G122" s="121"/>
      <c r="H122" s="114"/>
      <c r="I122" s="207"/>
      <c r="J122" s="84"/>
      <c r="K122" s="110"/>
      <c r="L122" s="111"/>
      <c r="M122" s="111"/>
      <c r="N122" s="111"/>
      <c r="O122" s="254"/>
      <c r="P122" s="262">
        <f t="shared" si="28"/>
        <v>29069</v>
      </c>
      <c r="Q122" s="48"/>
    </row>
    <row r="123" spans="1:17" s="3" customFormat="1" ht="71.25" customHeight="1" x14ac:dyDescent="0.2">
      <c r="A123" s="216"/>
      <c r="B123" s="209"/>
      <c r="C123" s="210"/>
      <c r="D123" s="329" t="s">
        <v>163</v>
      </c>
      <c r="E123" s="103">
        <f t="shared" si="41"/>
        <v>536738</v>
      </c>
      <c r="F123" s="160">
        <v>536738</v>
      </c>
      <c r="G123" s="121"/>
      <c r="H123" s="114"/>
      <c r="I123" s="207"/>
      <c r="J123" s="84"/>
      <c r="K123" s="110"/>
      <c r="L123" s="111"/>
      <c r="M123" s="111"/>
      <c r="N123" s="111"/>
      <c r="O123" s="254"/>
      <c r="P123" s="262">
        <f t="shared" si="28"/>
        <v>536738</v>
      </c>
      <c r="Q123" s="48"/>
    </row>
    <row r="124" spans="1:17" s="3" customFormat="1" ht="86.25" customHeight="1" x14ac:dyDescent="0.2">
      <c r="A124" s="216"/>
      <c r="B124" s="209"/>
      <c r="C124" s="210"/>
      <c r="D124" s="329" t="s">
        <v>165</v>
      </c>
      <c r="E124" s="103">
        <f t="shared" si="41"/>
        <v>188351</v>
      </c>
      <c r="F124" s="237">
        <v>188351</v>
      </c>
      <c r="G124" s="121"/>
      <c r="H124" s="114"/>
      <c r="I124" s="207"/>
      <c r="J124" s="84"/>
      <c r="K124" s="110"/>
      <c r="L124" s="111"/>
      <c r="M124" s="111"/>
      <c r="N124" s="111"/>
      <c r="O124" s="254"/>
      <c r="P124" s="262">
        <f t="shared" si="28"/>
        <v>188351</v>
      </c>
      <c r="Q124" s="48"/>
    </row>
    <row r="125" spans="1:17" s="3" customFormat="1" ht="88.5" customHeight="1" x14ac:dyDescent="0.2">
      <c r="A125" s="224"/>
      <c r="B125" s="209"/>
      <c r="C125" s="210"/>
      <c r="D125" s="329" t="s">
        <v>205</v>
      </c>
      <c r="E125" s="103">
        <f t="shared" si="41"/>
        <v>899771</v>
      </c>
      <c r="F125" s="160">
        <f>804623+13680+26326+5246+49896</f>
        <v>899771</v>
      </c>
      <c r="G125" s="121"/>
      <c r="H125" s="114"/>
      <c r="I125" s="207"/>
      <c r="J125" s="84"/>
      <c r="K125" s="115"/>
      <c r="L125" s="114"/>
      <c r="M125" s="114"/>
      <c r="N125" s="114"/>
      <c r="O125" s="207"/>
      <c r="P125" s="262">
        <f t="shared" si="28"/>
        <v>899771</v>
      </c>
      <c r="Q125" s="48"/>
    </row>
    <row r="126" spans="1:17" s="3" customFormat="1" ht="120.95" customHeight="1" x14ac:dyDescent="0.2">
      <c r="A126" s="226"/>
      <c r="B126" s="227"/>
      <c r="C126" s="326"/>
      <c r="D126" s="330" t="s">
        <v>232</v>
      </c>
      <c r="E126" s="335">
        <f t="shared" si="41"/>
        <v>194292</v>
      </c>
      <c r="F126" s="237">
        <v>194292</v>
      </c>
      <c r="G126" s="85"/>
      <c r="H126" s="141"/>
      <c r="I126" s="243"/>
      <c r="J126" s="140"/>
      <c r="K126" s="253"/>
      <c r="L126" s="141"/>
      <c r="M126" s="141"/>
      <c r="N126" s="141"/>
      <c r="O126" s="243"/>
      <c r="P126" s="266">
        <f t="shared" si="28"/>
        <v>194292</v>
      </c>
      <c r="Q126" s="48"/>
    </row>
    <row r="127" spans="1:17" s="3" customFormat="1" ht="64.5" customHeight="1" x14ac:dyDescent="0.2">
      <c r="A127" s="295" t="s">
        <v>237</v>
      </c>
      <c r="B127" s="324">
        <v>9800</v>
      </c>
      <c r="C127" s="83" t="s">
        <v>11</v>
      </c>
      <c r="D127" s="330" t="s">
        <v>238</v>
      </c>
      <c r="E127" s="335">
        <f t="shared" si="41"/>
        <v>11000</v>
      </c>
      <c r="F127" s="237">
        <v>11000</v>
      </c>
      <c r="G127" s="85"/>
      <c r="H127" s="141"/>
      <c r="I127" s="243"/>
      <c r="J127" s="140"/>
      <c r="K127" s="253"/>
      <c r="L127" s="141"/>
      <c r="M127" s="141"/>
      <c r="N127" s="141"/>
      <c r="O127" s="243"/>
      <c r="P127" s="266">
        <f t="shared" si="28"/>
        <v>11000</v>
      </c>
      <c r="Q127" s="48"/>
    </row>
    <row r="128" spans="1:17" ht="16.5" customHeight="1" thickBot="1" x14ac:dyDescent="0.25">
      <c r="A128" s="317" t="s">
        <v>49</v>
      </c>
      <c r="B128" s="325" t="s">
        <v>49</v>
      </c>
      <c r="C128" s="327" t="s">
        <v>49</v>
      </c>
      <c r="D128" s="331" t="s">
        <v>48</v>
      </c>
      <c r="E128" s="336">
        <f t="shared" ref="E128:O128" si="42">E13+E61+E114+E95+E111</f>
        <v>74992466</v>
      </c>
      <c r="F128" s="339">
        <f t="shared" si="42"/>
        <v>74992466</v>
      </c>
      <c r="G128" s="337">
        <f t="shared" si="42"/>
        <v>42477617</v>
      </c>
      <c r="H128" s="312">
        <f t="shared" si="42"/>
        <v>2625749</v>
      </c>
      <c r="I128" s="340">
        <f t="shared" si="42"/>
        <v>0</v>
      </c>
      <c r="J128" s="339">
        <f t="shared" si="42"/>
        <v>14943002</v>
      </c>
      <c r="K128" s="337">
        <f t="shared" si="42"/>
        <v>14252182</v>
      </c>
      <c r="L128" s="312">
        <f t="shared" si="42"/>
        <v>690820</v>
      </c>
      <c r="M128" s="312">
        <f t="shared" si="42"/>
        <v>38500</v>
      </c>
      <c r="N128" s="312">
        <f t="shared" si="42"/>
        <v>21580</v>
      </c>
      <c r="O128" s="340">
        <f t="shared" si="42"/>
        <v>14252182</v>
      </c>
      <c r="P128" s="342">
        <f>P13+P61+P114+P95+P111</f>
        <v>89935468</v>
      </c>
      <c r="Q128" s="48"/>
    </row>
    <row r="129" spans="1:18" ht="55.5" customHeight="1" x14ac:dyDescent="0.3">
      <c r="A129" s="346" t="s">
        <v>142</v>
      </c>
      <c r="B129" s="346"/>
      <c r="C129" s="346"/>
      <c r="D129" s="346"/>
      <c r="E129" s="41"/>
      <c r="H129" s="41"/>
      <c r="I129" s="9"/>
      <c r="J129" s="42"/>
      <c r="K129" s="42"/>
      <c r="L129" s="371" t="s">
        <v>135</v>
      </c>
      <c r="M129" s="371"/>
      <c r="N129" s="43"/>
      <c r="O129" s="86"/>
      <c r="P129" s="87"/>
      <c r="Q129" s="14"/>
    </row>
    <row r="130" spans="1:18" ht="15" customHeight="1" x14ac:dyDescent="0.3">
      <c r="A130" s="88"/>
      <c r="B130" s="88"/>
      <c r="C130" s="89"/>
      <c r="D130" s="90"/>
      <c r="E130" s="41"/>
      <c r="H130" s="41"/>
      <c r="I130" s="9"/>
      <c r="J130" s="44"/>
      <c r="K130" s="44"/>
      <c r="L130" s="91"/>
      <c r="M130" s="91"/>
      <c r="N130" s="45"/>
      <c r="O130" s="46"/>
      <c r="P130" s="87"/>
      <c r="Q130" s="14"/>
    </row>
    <row r="131" spans="1:18" ht="22.5" customHeight="1" x14ac:dyDescent="0.3">
      <c r="A131" s="92" t="s">
        <v>200</v>
      </c>
      <c r="B131" s="89"/>
      <c r="C131" s="89"/>
      <c r="D131" s="90"/>
      <c r="E131" s="9"/>
      <c r="H131" s="41"/>
      <c r="I131" s="9"/>
      <c r="J131" s="44"/>
      <c r="K131" s="44"/>
      <c r="L131" s="396" t="s">
        <v>201</v>
      </c>
      <c r="M131" s="396"/>
      <c r="N131" s="46"/>
      <c r="O131" s="46"/>
      <c r="P131" s="87"/>
      <c r="Q131" s="14"/>
    </row>
    <row r="132" spans="1:18" ht="16.5" customHeight="1" x14ac:dyDescent="0.3">
      <c r="A132" s="51"/>
      <c r="B132" s="93"/>
      <c r="C132" s="93"/>
      <c r="D132" s="9"/>
      <c r="E132" s="26"/>
      <c r="F132" s="26"/>
      <c r="G132" s="10"/>
      <c r="H132" s="10"/>
      <c r="I132" s="10"/>
      <c r="J132" s="27"/>
      <c r="K132" s="11"/>
      <c r="L132" s="11"/>
      <c r="M132" s="11"/>
      <c r="N132" s="31"/>
      <c r="O132" s="31"/>
      <c r="P132" s="94"/>
      <c r="Q132" s="14"/>
    </row>
    <row r="133" spans="1:18" ht="20.25" x14ac:dyDescent="0.3">
      <c r="A133" s="51"/>
      <c r="B133" s="95"/>
      <c r="C133" s="95"/>
      <c r="D133" s="96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15"/>
    </row>
    <row r="134" spans="1:18" ht="20.25" x14ac:dyDescent="0.3">
      <c r="A134" s="51"/>
      <c r="B134" s="95"/>
      <c r="C134" s="95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15"/>
    </row>
    <row r="135" spans="1:18" ht="18.75" x14ac:dyDescent="0.3">
      <c r="B135" s="16"/>
      <c r="C135" s="16"/>
      <c r="D135" s="1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8" ht="18.75" x14ac:dyDescent="0.3">
      <c r="B136" s="16"/>
      <c r="C136" s="16"/>
      <c r="D136" s="1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8" ht="18.75" x14ac:dyDescent="0.3">
      <c r="B137" s="16"/>
      <c r="C137" s="16"/>
      <c r="D137" s="1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13"/>
    </row>
    <row r="138" spans="1:18" ht="18.75" x14ac:dyDescent="0.3">
      <c r="B138" s="16"/>
      <c r="C138" s="16"/>
      <c r="D138" s="1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8" ht="18.75" hidden="1" x14ac:dyDescent="0.3">
      <c r="B139" s="16"/>
      <c r="C139" s="16"/>
      <c r="D139" s="12"/>
      <c r="E139" s="2"/>
      <c r="F139" s="2"/>
      <c r="G139" s="2"/>
      <c r="H139" s="2"/>
      <c r="I139" s="2"/>
      <c r="J139" s="23"/>
      <c r="K139" s="23"/>
      <c r="L139" s="23"/>
      <c r="M139" s="23"/>
      <c r="N139" s="23"/>
      <c r="O139" s="23"/>
      <c r="P139" s="17"/>
    </row>
    <row r="140" spans="1:18" ht="18.75" hidden="1" x14ac:dyDescent="0.3">
      <c r="B140" s="16"/>
      <c r="C140" s="16"/>
      <c r="D140" s="12"/>
      <c r="E140" s="2"/>
      <c r="F140" s="2"/>
      <c r="G140" s="2"/>
      <c r="H140" s="2"/>
      <c r="I140" s="2"/>
      <c r="J140" s="23"/>
      <c r="K140" s="23"/>
      <c r="L140" s="23"/>
      <c r="M140" s="23"/>
      <c r="N140" s="23"/>
      <c r="O140" s="23"/>
      <c r="P140" s="17"/>
    </row>
    <row r="141" spans="1:18" ht="18.75" hidden="1" x14ac:dyDescent="0.3">
      <c r="B141" s="16"/>
      <c r="C141" s="16"/>
      <c r="D141" s="12"/>
      <c r="E141" s="2"/>
      <c r="F141" s="2"/>
      <c r="G141" s="2"/>
      <c r="H141" s="2"/>
      <c r="I141" s="2"/>
      <c r="J141" s="23"/>
      <c r="K141" s="23"/>
      <c r="L141" s="23"/>
      <c r="M141" s="23"/>
      <c r="N141" s="23"/>
      <c r="O141" s="23"/>
      <c r="P141" s="17"/>
    </row>
    <row r="142" spans="1:18" ht="18.75" hidden="1" x14ac:dyDescent="0.3">
      <c r="B142" s="16"/>
      <c r="C142" s="16"/>
      <c r="D142" s="1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8" ht="18.75" x14ac:dyDescent="0.3">
      <c r="B143" s="16"/>
      <c r="C143" s="16"/>
      <c r="D143" s="1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R143" s="4"/>
    </row>
    <row r="144" spans="1:18" ht="18.75" x14ac:dyDescent="0.3">
      <c r="B144" s="16"/>
      <c r="C144" s="16"/>
      <c r="D144" s="1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17"/>
    </row>
    <row r="145" spans="2:17" ht="18.75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2:17" ht="23.25" x14ac:dyDescent="0.35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5"/>
    </row>
    <row r="147" spans="2:17" ht="18.75" hidden="1" customHeight="1" x14ac:dyDescent="0.3">
      <c r="B147" s="16"/>
      <c r="C147" s="16"/>
      <c r="D147" s="1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17"/>
    </row>
    <row r="148" spans="2:17" ht="1.5" hidden="1" customHeight="1" x14ac:dyDescent="0.3">
      <c r="B148" s="16"/>
      <c r="C148" s="16"/>
      <c r="D148" s="12"/>
      <c r="E148" s="2"/>
      <c r="F148" s="2"/>
      <c r="G148" s="2"/>
      <c r="H148" s="2"/>
      <c r="I148" s="2"/>
      <c r="J148" s="23"/>
      <c r="K148" s="23"/>
      <c r="L148" s="23"/>
      <c r="M148" s="23"/>
      <c r="N148" s="24"/>
      <c r="O148" s="24"/>
      <c r="P148" s="17"/>
    </row>
    <row r="149" spans="2:17" ht="18.75" hidden="1" x14ac:dyDescent="0.3">
      <c r="B149" s="16"/>
      <c r="C149" s="16"/>
      <c r="D149" s="1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2:17" ht="18.75" hidden="1" x14ac:dyDescent="0.3">
      <c r="B150" s="16"/>
      <c r="C150" s="16"/>
      <c r="D150" s="1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17"/>
      <c r="Q150" s="15"/>
    </row>
    <row r="151" spans="2:17" ht="18.75" hidden="1" x14ac:dyDescent="0.3">
      <c r="B151" s="16"/>
      <c r="C151" s="16"/>
      <c r="D151" s="1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15"/>
    </row>
    <row r="152" spans="2:17" ht="18.75" x14ac:dyDescent="0.3">
      <c r="B152" s="16"/>
      <c r="C152" s="16"/>
      <c r="D152" s="1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15"/>
    </row>
    <row r="153" spans="2:17" ht="18.75" x14ac:dyDescent="0.3">
      <c r="B153" s="16"/>
      <c r="C153" s="16"/>
      <c r="D153" s="1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5"/>
    </row>
    <row r="154" spans="2:17" ht="18.75" x14ac:dyDescent="0.3">
      <c r="B154" s="16"/>
      <c r="C154" s="16"/>
      <c r="D154" s="1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15"/>
    </row>
    <row r="155" spans="2:17" ht="18.75" x14ac:dyDescent="0.3">
      <c r="B155" s="16"/>
      <c r="C155" s="16"/>
      <c r="D155" s="1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15"/>
    </row>
    <row r="156" spans="2:17" ht="18.75" hidden="1" x14ac:dyDescent="0.3">
      <c r="B156" s="16"/>
      <c r="C156" s="16"/>
      <c r="D156" s="1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15"/>
    </row>
    <row r="157" spans="2:17" ht="18.75" hidden="1" x14ac:dyDescent="0.3">
      <c r="B157" s="16"/>
      <c r="C157" s="16"/>
      <c r="D157" s="1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15"/>
    </row>
    <row r="158" spans="2:17" ht="18.75" hidden="1" x14ac:dyDescent="0.3">
      <c r="B158" s="16"/>
      <c r="C158" s="16"/>
      <c r="D158" s="1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15"/>
    </row>
    <row r="159" spans="2:17" ht="27" customHeight="1" x14ac:dyDescent="0.3">
      <c r="B159" s="16"/>
      <c r="C159" s="16"/>
      <c r="D159" s="12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15"/>
    </row>
    <row r="160" spans="2:17" ht="18.75" x14ac:dyDescent="0.3">
      <c r="B160" s="16"/>
      <c r="C160" s="16"/>
      <c r="D160" s="12"/>
      <c r="E160" s="22"/>
      <c r="F160" s="22"/>
      <c r="G160" s="22"/>
      <c r="H160" s="22"/>
      <c r="I160" s="22"/>
      <c r="J160" s="20"/>
      <c r="K160" s="20"/>
      <c r="L160" s="20"/>
      <c r="M160" s="20"/>
      <c r="N160" s="20"/>
      <c r="O160" s="20"/>
      <c r="P160" s="17"/>
      <c r="Q160" s="15"/>
    </row>
    <row r="161" spans="2:17" ht="18.75" x14ac:dyDescent="0.3">
      <c r="B161" s="16"/>
      <c r="C161" s="16"/>
      <c r="D161" s="12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15"/>
    </row>
    <row r="162" spans="2:17" ht="24.75" customHeight="1" x14ac:dyDescent="0.3">
      <c r="B162" s="16"/>
      <c r="C162" s="16"/>
      <c r="D162" s="2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17"/>
    </row>
    <row r="163" spans="2:17" ht="18.75" x14ac:dyDescent="0.3">
      <c r="B163" s="16"/>
      <c r="C163" s="16"/>
      <c r="D163" s="19"/>
      <c r="E163" s="2"/>
      <c r="F163" s="2"/>
      <c r="G163" s="2"/>
      <c r="H163" s="2"/>
      <c r="I163" s="2"/>
      <c r="J163" s="4"/>
      <c r="K163" s="4"/>
      <c r="L163" s="4"/>
      <c r="M163" s="4"/>
      <c r="N163" s="18"/>
      <c r="O163" s="18"/>
      <c r="P163" s="17"/>
    </row>
    <row r="164" spans="2:17" ht="18.75" x14ac:dyDescent="0.3">
      <c r="B164" s="16"/>
      <c r="C164" s="16"/>
      <c r="D164" s="2"/>
      <c r="E164" s="2"/>
      <c r="F164" s="2"/>
      <c r="G164" s="2"/>
      <c r="H164" s="2"/>
      <c r="I164" s="2"/>
      <c r="N164" s="5"/>
      <c r="O164" s="5"/>
      <c r="P164" s="17"/>
    </row>
    <row r="165" spans="2:17" ht="18.75" x14ac:dyDescent="0.3">
      <c r="B165" s="16"/>
      <c r="C165" s="16"/>
      <c r="D165" s="2"/>
      <c r="E165" s="30"/>
      <c r="F165" s="2"/>
      <c r="G165" s="2"/>
      <c r="H165" s="2"/>
      <c r="I165" s="2"/>
      <c r="N165" s="5"/>
      <c r="O165" s="5"/>
      <c r="P165" s="17"/>
    </row>
    <row r="166" spans="2:17" ht="18.75" x14ac:dyDescent="0.3">
      <c r="B166" s="16"/>
      <c r="C166" s="16"/>
      <c r="D166" s="2"/>
      <c r="E166" s="2"/>
      <c r="F166" s="2"/>
      <c r="G166" s="2"/>
      <c r="H166" s="2"/>
      <c r="I166" s="2"/>
      <c r="N166" s="5"/>
      <c r="O166" s="5"/>
      <c r="P166" s="17"/>
    </row>
    <row r="167" spans="2:17" ht="18.75" x14ac:dyDescent="0.3">
      <c r="B167" s="16"/>
      <c r="C167" s="16"/>
      <c r="D167" s="2"/>
      <c r="E167" s="2"/>
      <c r="F167" s="2"/>
      <c r="G167" s="2"/>
      <c r="H167" s="2"/>
      <c r="I167" s="2"/>
      <c r="N167" s="5"/>
      <c r="O167" s="5"/>
      <c r="P167" s="17"/>
    </row>
    <row r="168" spans="2:17" ht="18.75" x14ac:dyDescent="0.3">
      <c r="B168" s="16"/>
      <c r="C168" s="16"/>
      <c r="D168" s="2"/>
      <c r="E168" s="2"/>
      <c r="F168" s="2"/>
      <c r="G168" s="2"/>
      <c r="H168" s="2"/>
      <c r="I168" s="2"/>
      <c r="P168" s="17"/>
    </row>
    <row r="169" spans="2:17" ht="18.75" x14ac:dyDescent="0.3">
      <c r="B169" s="16"/>
      <c r="C169" s="16"/>
      <c r="D169" s="2"/>
      <c r="E169" s="2"/>
      <c r="F169" s="2"/>
      <c r="G169" s="2"/>
      <c r="H169" s="2"/>
      <c r="I169" s="2"/>
      <c r="P169" s="17"/>
    </row>
    <row r="170" spans="2:17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7" ht="18.75" x14ac:dyDescent="0.3">
      <c r="B171" s="16"/>
      <c r="C171" s="16"/>
      <c r="D171" s="2"/>
      <c r="E171" s="2"/>
      <c r="F171" s="2"/>
      <c r="G171" s="2"/>
      <c r="H171" s="2"/>
      <c r="I171" s="2"/>
      <c r="P171" s="17"/>
    </row>
    <row r="172" spans="2:17" ht="18.75" x14ac:dyDescent="0.3">
      <c r="B172" s="16"/>
      <c r="C172" s="16"/>
      <c r="D172" s="2"/>
      <c r="E172" s="2"/>
      <c r="F172" s="2"/>
      <c r="G172" s="2"/>
      <c r="H172" s="2"/>
      <c r="I172" s="2"/>
      <c r="P172" s="17"/>
    </row>
    <row r="173" spans="2:17" ht="18.75" x14ac:dyDescent="0.3">
      <c r="B173" s="16"/>
      <c r="C173" s="16"/>
      <c r="D173" s="2"/>
      <c r="E173" s="2"/>
      <c r="F173" s="2"/>
      <c r="G173" s="2"/>
      <c r="H173" s="2"/>
      <c r="I173" s="2"/>
      <c r="P173" s="17"/>
    </row>
    <row r="174" spans="2:17" ht="18.75" x14ac:dyDescent="0.3">
      <c r="B174" s="16"/>
      <c r="C174" s="16"/>
      <c r="D174" s="2"/>
      <c r="E174" s="2"/>
      <c r="F174" s="2"/>
      <c r="G174" s="2"/>
      <c r="H174" s="2"/>
      <c r="I174" s="2"/>
      <c r="P174" s="17"/>
    </row>
    <row r="175" spans="2:17" ht="18.75" x14ac:dyDescent="0.3">
      <c r="B175" s="16"/>
      <c r="C175" s="16"/>
      <c r="D175" s="2"/>
      <c r="E175" s="2"/>
      <c r="F175" s="2"/>
      <c r="G175" s="2"/>
      <c r="H175" s="2"/>
      <c r="I175" s="2"/>
      <c r="P175" s="17"/>
    </row>
    <row r="176" spans="2:17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3">
      <c r="B193" s="16"/>
      <c r="C193" s="16"/>
      <c r="D193" s="2"/>
      <c r="E193" s="2"/>
      <c r="F193" s="2"/>
      <c r="G193" s="2"/>
      <c r="H193" s="2"/>
      <c r="I193" s="2"/>
      <c r="P193" s="17"/>
    </row>
    <row r="194" spans="2:16" ht="18.75" x14ac:dyDescent="0.3">
      <c r="B194" s="16"/>
      <c r="C194" s="16"/>
      <c r="D194" s="2"/>
      <c r="E194" s="2"/>
      <c r="F194" s="2"/>
      <c r="G194" s="2"/>
      <c r="H194" s="2"/>
      <c r="I194" s="2"/>
      <c r="P194" s="17"/>
    </row>
    <row r="195" spans="2:16" ht="18.75" x14ac:dyDescent="0.3">
      <c r="B195" s="16"/>
      <c r="C195" s="16"/>
      <c r="D195" s="2"/>
      <c r="E195" s="2"/>
      <c r="F195" s="2"/>
      <c r="G195" s="2"/>
      <c r="H195" s="2"/>
      <c r="I195" s="2"/>
      <c r="P195" s="17"/>
    </row>
    <row r="196" spans="2:16" ht="18.75" x14ac:dyDescent="0.3">
      <c r="B196" s="16"/>
      <c r="C196" s="16"/>
      <c r="D196" s="2"/>
      <c r="E196" s="2"/>
      <c r="F196" s="2"/>
      <c r="G196" s="2"/>
      <c r="H196" s="2"/>
      <c r="I196" s="2"/>
      <c r="P196" s="17"/>
    </row>
    <row r="197" spans="2:16" ht="18.75" x14ac:dyDescent="0.3">
      <c r="B197" s="16"/>
      <c r="C197" s="16"/>
      <c r="D197" s="2"/>
      <c r="E197" s="2"/>
      <c r="F197" s="2"/>
      <c r="G197" s="2"/>
      <c r="H197" s="2"/>
      <c r="I197" s="2"/>
      <c r="P197" s="17"/>
    </row>
    <row r="198" spans="2:16" ht="18.75" x14ac:dyDescent="0.3">
      <c r="B198" s="16"/>
      <c r="C198" s="16"/>
      <c r="D198" s="2"/>
      <c r="E198" s="2"/>
      <c r="F198" s="2"/>
      <c r="G198" s="2"/>
      <c r="H198" s="2"/>
      <c r="I198" s="2"/>
      <c r="P198" s="17"/>
    </row>
    <row r="199" spans="2:16" ht="18.75" x14ac:dyDescent="0.3">
      <c r="B199" s="16"/>
      <c r="C199" s="16"/>
      <c r="D199" s="2"/>
      <c r="E199" s="2"/>
      <c r="F199" s="2"/>
      <c r="G199" s="2"/>
      <c r="H199" s="2"/>
      <c r="I199" s="2"/>
      <c r="P199" s="17"/>
    </row>
    <row r="200" spans="2:16" ht="18.75" x14ac:dyDescent="0.3">
      <c r="B200" s="16"/>
      <c r="C200" s="16"/>
      <c r="D200" s="2"/>
      <c r="E200" s="2"/>
      <c r="F200" s="2"/>
      <c r="G200" s="2"/>
      <c r="H200" s="2"/>
      <c r="I200" s="2"/>
      <c r="P200" s="17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7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ht="18.75" x14ac:dyDescent="0.2">
      <c r="B317" s="6"/>
      <c r="C317" s="6"/>
      <c r="D317" s="2"/>
      <c r="E317" s="2"/>
      <c r="F317" s="2"/>
      <c r="G317" s="2"/>
      <c r="H317" s="2"/>
      <c r="I317" s="2"/>
      <c r="P317" s="17"/>
    </row>
    <row r="318" spans="2:16" ht="18.75" x14ac:dyDescent="0.2">
      <c r="B318" s="6"/>
      <c r="C318" s="6"/>
      <c r="D318" s="2"/>
      <c r="E318" s="2"/>
      <c r="F318" s="2"/>
      <c r="G318" s="2"/>
      <c r="H318" s="2"/>
      <c r="I318" s="2"/>
      <c r="P318" s="17"/>
    </row>
    <row r="319" spans="2:16" ht="18.75" x14ac:dyDescent="0.2">
      <c r="B319" s="6"/>
      <c r="C319" s="6"/>
      <c r="D319" s="2"/>
      <c r="E319" s="2"/>
      <c r="F319" s="2"/>
      <c r="G319" s="2"/>
      <c r="H319" s="2"/>
      <c r="I319" s="2"/>
      <c r="P319" s="17"/>
    </row>
    <row r="320" spans="2:16" ht="18.75" x14ac:dyDescent="0.2">
      <c r="B320" s="6"/>
      <c r="C320" s="6"/>
      <c r="D320" s="2"/>
      <c r="E320" s="2"/>
      <c r="F320" s="2"/>
      <c r="G320" s="2"/>
      <c r="H320" s="2"/>
      <c r="I320" s="2"/>
      <c r="P320" s="17"/>
    </row>
    <row r="321" spans="2:16" ht="18.75" x14ac:dyDescent="0.2">
      <c r="B321" s="6"/>
      <c r="C321" s="6"/>
      <c r="D321" s="2"/>
      <c r="E321" s="2"/>
      <c r="F321" s="2"/>
      <c r="G321" s="2"/>
      <c r="H321" s="2"/>
      <c r="I321" s="2"/>
      <c r="P321" s="17"/>
    </row>
    <row r="322" spans="2:16" ht="18.75" x14ac:dyDescent="0.2">
      <c r="B322" s="6"/>
      <c r="C322" s="6"/>
      <c r="D322" s="2"/>
      <c r="E322" s="2"/>
      <c r="F322" s="2"/>
      <c r="G322" s="2"/>
      <c r="H322" s="2"/>
      <c r="I322" s="2"/>
      <c r="P322" s="17"/>
    </row>
    <row r="323" spans="2:16" ht="18.75" x14ac:dyDescent="0.2">
      <c r="B323" s="6"/>
      <c r="C323" s="6"/>
      <c r="D323" s="2"/>
      <c r="E323" s="2"/>
      <c r="F323" s="2"/>
      <c r="G323" s="2"/>
      <c r="H323" s="2"/>
      <c r="I323" s="2"/>
      <c r="P323" s="17"/>
    </row>
    <row r="324" spans="2:16" ht="18.75" x14ac:dyDescent="0.2">
      <c r="B324" s="6"/>
      <c r="C324" s="6"/>
      <c r="D324" s="2"/>
      <c r="E324" s="2"/>
      <c r="F324" s="2"/>
      <c r="G324" s="2"/>
      <c r="H324" s="2"/>
      <c r="I324" s="2"/>
      <c r="P324" s="17"/>
    </row>
    <row r="325" spans="2:16" x14ac:dyDescent="0.2">
      <c r="B325" s="6"/>
      <c r="C325" s="6"/>
      <c r="D325" s="2"/>
      <c r="E325" s="2"/>
      <c r="F325" s="2"/>
      <c r="G325" s="2"/>
      <c r="H325" s="2"/>
      <c r="I325" s="2"/>
    </row>
    <row r="326" spans="2:16" x14ac:dyDescent="0.2">
      <c r="B326" s="6"/>
      <c r="C326" s="6"/>
      <c r="D326" s="2"/>
      <c r="E326" s="2"/>
      <c r="F326" s="2"/>
      <c r="G326" s="2"/>
      <c r="H326" s="2"/>
      <c r="I326" s="2"/>
    </row>
    <row r="327" spans="2:16" x14ac:dyDescent="0.2">
      <c r="B327" s="6"/>
      <c r="C327" s="6"/>
      <c r="D327" s="2"/>
      <c r="E327" s="2"/>
      <c r="F327" s="2"/>
      <c r="G327" s="2"/>
      <c r="H327" s="2"/>
      <c r="I327" s="2"/>
    </row>
    <row r="328" spans="2:16" x14ac:dyDescent="0.2">
      <c r="B328" s="6"/>
      <c r="C328" s="6"/>
      <c r="D328" s="2"/>
      <c r="E328" s="2"/>
      <c r="F328" s="2"/>
      <c r="G328" s="2"/>
      <c r="H328" s="2"/>
      <c r="I328" s="2"/>
    </row>
    <row r="329" spans="2:16" x14ac:dyDescent="0.2">
      <c r="B329" s="6"/>
      <c r="C329" s="6"/>
      <c r="D329" s="2"/>
      <c r="E329" s="2"/>
      <c r="F329" s="2"/>
      <c r="G329" s="2"/>
      <c r="H329" s="2"/>
      <c r="I329" s="2"/>
    </row>
    <row r="330" spans="2:16" x14ac:dyDescent="0.2">
      <c r="B330" s="6"/>
      <c r="C330" s="6"/>
      <c r="D330" s="2"/>
      <c r="E330" s="2"/>
      <c r="F330" s="2"/>
      <c r="G330" s="2"/>
      <c r="H330" s="2"/>
      <c r="I330" s="2"/>
    </row>
    <row r="331" spans="2:16" x14ac:dyDescent="0.2">
      <c r="B331" s="6"/>
      <c r="C331" s="6"/>
      <c r="D331" s="2"/>
      <c r="E331" s="2"/>
      <c r="F331" s="2"/>
      <c r="G331" s="2"/>
      <c r="H331" s="2"/>
      <c r="I331" s="2"/>
    </row>
    <row r="332" spans="2:16" x14ac:dyDescent="0.2">
      <c r="B332" s="6"/>
      <c r="C332" s="6"/>
      <c r="D332" s="2"/>
      <c r="E332" s="2"/>
      <c r="F332" s="2"/>
      <c r="G332" s="2"/>
      <c r="H332" s="2"/>
      <c r="I332" s="2"/>
    </row>
    <row r="333" spans="2:16" x14ac:dyDescent="0.2">
      <c r="B333" s="6"/>
      <c r="C333" s="6"/>
      <c r="D333" s="2"/>
      <c r="E333" s="2"/>
      <c r="F333" s="2"/>
      <c r="G333" s="2"/>
      <c r="H333" s="2"/>
      <c r="I333" s="2"/>
    </row>
    <row r="334" spans="2:16" x14ac:dyDescent="0.2">
      <c r="B334" s="6"/>
      <c r="C334" s="6"/>
      <c r="D334" s="2"/>
      <c r="E334" s="2"/>
      <c r="F334" s="2"/>
      <c r="G334" s="2"/>
      <c r="H334" s="2"/>
      <c r="I334" s="2"/>
    </row>
    <row r="335" spans="2:16" x14ac:dyDescent="0.2">
      <c r="B335" s="6"/>
      <c r="C335" s="6"/>
      <c r="D335" s="2"/>
      <c r="E335" s="2"/>
      <c r="F335" s="2"/>
      <c r="G335" s="2"/>
      <c r="H335" s="2"/>
      <c r="I335" s="2"/>
    </row>
    <row r="336" spans="2:16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  <c r="E384" s="2"/>
      <c r="F384" s="2"/>
      <c r="G384" s="2"/>
      <c r="H384" s="2"/>
      <c r="I384" s="2"/>
    </row>
    <row r="385" spans="2:9" x14ac:dyDescent="0.2">
      <c r="B385" s="6"/>
      <c r="C385" s="6"/>
      <c r="D385" s="2"/>
      <c r="E385" s="2"/>
      <c r="F385" s="2"/>
      <c r="G385" s="2"/>
      <c r="H385" s="2"/>
      <c r="I385" s="2"/>
    </row>
    <row r="386" spans="2:9" x14ac:dyDescent="0.2">
      <c r="B386" s="6"/>
      <c r="C386" s="6"/>
      <c r="D386" s="2"/>
      <c r="E386" s="2"/>
      <c r="F386" s="2"/>
      <c r="G386" s="2"/>
      <c r="H386" s="2"/>
      <c r="I386" s="2"/>
    </row>
    <row r="387" spans="2:9" x14ac:dyDescent="0.2">
      <c r="B387" s="6"/>
      <c r="C387" s="6"/>
      <c r="D387" s="2"/>
      <c r="E387" s="2"/>
      <c r="F387" s="2"/>
      <c r="G387" s="2"/>
      <c r="H387" s="2"/>
      <c r="I387" s="2"/>
    </row>
    <row r="388" spans="2:9" x14ac:dyDescent="0.2">
      <c r="B388" s="6"/>
      <c r="C388" s="6"/>
      <c r="D388" s="2"/>
      <c r="E388" s="2"/>
      <c r="F388" s="2"/>
      <c r="G388" s="2"/>
      <c r="H388" s="2"/>
      <c r="I388" s="2"/>
    </row>
    <row r="389" spans="2:9" x14ac:dyDescent="0.2">
      <c r="B389" s="6"/>
      <c r="C389" s="6"/>
      <c r="D389" s="2"/>
      <c r="E389" s="2"/>
      <c r="F389" s="2"/>
      <c r="G389" s="2"/>
      <c r="H389" s="2"/>
      <c r="I389" s="2"/>
    </row>
    <row r="390" spans="2:9" x14ac:dyDescent="0.2">
      <c r="B390" s="6"/>
      <c r="C390" s="6"/>
      <c r="D390" s="2"/>
      <c r="E390" s="2"/>
      <c r="F390" s="2"/>
      <c r="G390" s="2"/>
      <c r="H390" s="2"/>
      <c r="I390" s="2"/>
    </row>
    <row r="391" spans="2:9" x14ac:dyDescent="0.2">
      <c r="B391" s="6"/>
      <c r="C391" s="6"/>
      <c r="D391" s="2"/>
      <c r="E391" s="2"/>
      <c r="F391" s="2"/>
      <c r="G391" s="2"/>
      <c r="H391" s="2"/>
      <c r="I391" s="2"/>
    </row>
    <row r="392" spans="2:9" x14ac:dyDescent="0.2">
      <c r="B392" s="6"/>
      <c r="C392" s="6"/>
      <c r="D392" s="2"/>
    </row>
    <row r="393" spans="2:9" x14ac:dyDescent="0.2">
      <c r="B393" s="6"/>
      <c r="C393" s="6"/>
    </row>
    <row r="394" spans="2:9" x14ac:dyDescent="0.2">
      <c r="B394" s="6"/>
      <c r="C394" s="6"/>
    </row>
    <row r="395" spans="2:9" x14ac:dyDescent="0.2">
      <c r="B395" s="6"/>
      <c r="C395" s="6"/>
    </row>
    <row r="396" spans="2:9" x14ac:dyDescent="0.2">
      <c r="B396" s="6"/>
      <c r="C396" s="6"/>
    </row>
    <row r="397" spans="2:9" x14ac:dyDescent="0.2">
      <c r="B397" s="6"/>
      <c r="C397" s="6"/>
    </row>
    <row r="398" spans="2:9" x14ac:dyDescent="0.2">
      <c r="B398" s="6"/>
      <c r="C398" s="6"/>
    </row>
    <row r="399" spans="2:9" x14ac:dyDescent="0.2">
      <c r="B399" s="6"/>
      <c r="C399" s="6"/>
    </row>
    <row r="400" spans="2:9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7">
    <mergeCell ref="L131:M131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29:D129"/>
    <mergeCell ref="P7:P10"/>
    <mergeCell ref="F8:F10"/>
    <mergeCell ref="G8:H8"/>
    <mergeCell ref="J8:J10"/>
    <mergeCell ref="K8:K10"/>
    <mergeCell ref="E7:I7"/>
    <mergeCell ref="I8:I10"/>
    <mergeCell ref="G9:G10"/>
    <mergeCell ref="E8:E10"/>
    <mergeCell ref="H9:H10"/>
    <mergeCell ref="L129:M129"/>
    <mergeCell ref="A7:A10"/>
    <mergeCell ref="B7:B10"/>
    <mergeCell ref="C7:C10"/>
  </mergeCells>
  <phoneticPr fontId="2" type="noConversion"/>
  <conditionalFormatting sqref="P162:P230 P139:P141 P144 P160 P147:P148 P150 J61 F61:H61 E128 G23:H36 E61:E63 E12:H12 E69:E70 F70 E60:F60 F63 E114:H114 E13 E65 E116:H116 E115 E119 H60 E90:F94 P129:P132 E50:E54 E73:F78 F81:F87 E97:F97 F109:F110 P114:P118 E91:E96 P96:P97 E107:E113 F113 F117:H117 E38:F49 E14:H21 E22:E37 E120:F127 H49:H58 P120:P127 P65:P87 P90:P94 P14:P58">
    <cfRule type="cellIs" dxfId="59" priority="122" stopIfTrue="1" operator="equal">
      <formula>0</formula>
    </cfRule>
  </conditionalFormatting>
  <conditionalFormatting sqref="K116:O118 K60:O60 I60 K14:O21 K23:O36 K120:O127 I49:I58 K49:O58">
    <cfRule type="cellIs" dxfId="58" priority="124" stopIfTrue="1" operator="equal">
      <formula>0</formula>
    </cfRule>
  </conditionalFormatting>
  <conditionalFormatting sqref="G22:I22">
    <cfRule type="cellIs" dxfId="57" priority="91" stopIfTrue="1" operator="equal">
      <formula>0</formula>
    </cfRule>
  </conditionalFormatting>
  <conditionalFormatting sqref="E66:E68">
    <cfRule type="cellIs" dxfId="56" priority="87" stopIfTrue="1" operator="equal">
      <formula>0</formula>
    </cfRule>
  </conditionalFormatting>
  <conditionalFormatting sqref="F55:F58">
    <cfRule type="cellIs" dxfId="55" priority="85" stopIfTrue="1" operator="equal">
      <formula>0</formula>
    </cfRule>
  </conditionalFormatting>
  <conditionalFormatting sqref="F65">
    <cfRule type="cellIs" dxfId="54" priority="84" stopIfTrue="1" operator="equal">
      <formula>0</formula>
    </cfRule>
  </conditionalFormatting>
  <conditionalFormatting sqref="E71:F72">
    <cfRule type="cellIs" dxfId="53" priority="83" stopIfTrue="1" operator="equal">
      <formula>0</formula>
    </cfRule>
  </conditionalFormatting>
  <conditionalFormatting sqref="F79">
    <cfRule type="cellIs" dxfId="52" priority="82" stopIfTrue="1" operator="equal">
      <formula>0</formula>
    </cfRule>
  </conditionalFormatting>
  <conditionalFormatting sqref="F69:G69">
    <cfRule type="cellIs" dxfId="51" priority="80" stopIfTrue="1" operator="equal">
      <formula>0</formula>
    </cfRule>
  </conditionalFormatting>
  <conditionalFormatting sqref="F64:O64">
    <cfRule type="cellIs" dxfId="50" priority="69" stopIfTrue="1" operator="equal">
      <formula>0</formula>
    </cfRule>
  </conditionalFormatting>
  <conditionalFormatting sqref="F115:H115">
    <cfRule type="cellIs" dxfId="49" priority="73" stopIfTrue="1" operator="equal">
      <formula>0</formula>
    </cfRule>
  </conditionalFormatting>
  <conditionalFormatting sqref="P63 P60:P61">
    <cfRule type="cellIs" dxfId="48" priority="72" stopIfTrue="1" operator="equal">
      <formula>0</formula>
    </cfRule>
  </conditionalFormatting>
  <conditionalFormatting sqref="F119:P119">
    <cfRule type="cellIs" dxfId="47" priority="71" stopIfTrue="1" operator="equal">
      <formula>0</formula>
    </cfRule>
  </conditionalFormatting>
  <conditionalFormatting sqref="J12:L12 O12">
    <cfRule type="cellIs" dxfId="46" priority="65" stopIfTrue="1" operator="equal">
      <formula>0</formula>
    </cfRule>
  </conditionalFormatting>
  <conditionalFormatting sqref="F66:O66">
    <cfRule type="cellIs" dxfId="45" priority="64" stopIfTrue="1" operator="equal">
      <formula>0</formula>
    </cfRule>
  </conditionalFormatting>
  <conditionalFormatting sqref="H69:O69">
    <cfRule type="cellIs" dxfId="44" priority="68" stopIfTrue="1" operator="equal">
      <formula>0</formula>
    </cfRule>
  </conditionalFormatting>
  <conditionalFormatting sqref="E59:H59">
    <cfRule type="cellIs" dxfId="43" priority="60" stopIfTrue="1" operator="equal">
      <formula>0</formula>
    </cfRule>
  </conditionalFormatting>
  <conditionalFormatting sqref="K59:O59">
    <cfRule type="cellIs" dxfId="42" priority="61" stopIfTrue="1" operator="equal">
      <formula>0</formula>
    </cfRule>
  </conditionalFormatting>
  <conditionalFormatting sqref="P59">
    <cfRule type="cellIs" dxfId="41" priority="59" stopIfTrue="1" operator="equal">
      <formula>0</formula>
    </cfRule>
  </conditionalFormatting>
  <conditionalFormatting sqref="F80:I80">
    <cfRule type="cellIs" dxfId="40" priority="57" stopIfTrue="1" operator="equal">
      <formula>0</formula>
    </cfRule>
  </conditionalFormatting>
  <conditionalFormatting sqref="F88:F89 P88:P89">
    <cfRule type="cellIs" dxfId="39" priority="55" stopIfTrue="1" operator="equal">
      <formula>0</formula>
    </cfRule>
  </conditionalFormatting>
  <conditionalFormatting sqref="F50:F54">
    <cfRule type="cellIs" dxfId="38" priority="53" stopIfTrue="1" operator="equal">
      <formula>0</formula>
    </cfRule>
  </conditionalFormatting>
  <conditionalFormatting sqref="F22:F28">
    <cfRule type="cellIs" dxfId="37" priority="42" stopIfTrue="1" operator="equal">
      <formula>0</formula>
    </cfRule>
  </conditionalFormatting>
  <conditionalFormatting sqref="J22:O22">
    <cfRule type="cellIs" dxfId="36" priority="44" stopIfTrue="1" operator="equal">
      <formula>0</formula>
    </cfRule>
  </conditionalFormatting>
  <conditionalFormatting sqref="P12">
    <cfRule type="cellIs" dxfId="35" priority="51" stopIfTrue="1" operator="equal">
      <formula>0</formula>
    </cfRule>
  </conditionalFormatting>
  <conditionalFormatting sqref="I12">
    <cfRule type="cellIs" dxfId="34" priority="50" stopIfTrue="1" operator="equal">
      <formula>0</formula>
    </cfRule>
  </conditionalFormatting>
  <conditionalFormatting sqref="M12">
    <cfRule type="cellIs" dxfId="33" priority="48" stopIfTrue="1" operator="equal">
      <formula>0</formula>
    </cfRule>
  </conditionalFormatting>
  <conditionalFormatting sqref="N12">
    <cfRule type="cellIs" dxfId="32" priority="46" stopIfTrue="1" operator="equal">
      <formula>0</formula>
    </cfRule>
  </conditionalFormatting>
  <conditionalFormatting sqref="E64">
    <cfRule type="cellIs" dxfId="31" priority="37" stopIfTrue="1" operator="equal">
      <formula>0</formula>
    </cfRule>
  </conditionalFormatting>
  <conditionalFormatting sqref="F32:F36">
    <cfRule type="cellIs" dxfId="30" priority="41" stopIfTrue="1" operator="equal">
      <formula>0</formula>
    </cfRule>
  </conditionalFormatting>
  <conditionalFormatting sqref="E55:E58">
    <cfRule type="cellIs" dxfId="29" priority="39" stopIfTrue="1" operator="equal">
      <formula>0</formula>
    </cfRule>
  </conditionalFormatting>
  <conditionalFormatting sqref="F37">
    <cfRule type="cellIs" dxfId="28" priority="40" stopIfTrue="1" operator="equal">
      <formula>0</formula>
    </cfRule>
  </conditionalFormatting>
  <conditionalFormatting sqref="E79">
    <cfRule type="cellIs" dxfId="27" priority="33" stopIfTrue="1" operator="equal">
      <formula>0</formula>
    </cfRule>
  </conditionalFormatting>
  <conditionalFormatting sqref="P64">
    <cfRule type="cellIs" dxfId="26" priority="36" stopIfTrue="1" operator="equal">
      <formula>0</formula>
    </cfRule>
  </conditionalFormatting>
  <conditionalFormatting sqref="F95:P95">
    <cfRule type="cellIs" dxfId="25" priority="27" stopIfTrue="1" operator="equal">
      <formula>0</formula>
    </cfRule>
  </conditionalFormatting>
  <conditionalFormatting sqref="F67:F68">
    <cfRule type="cellIs" dxfId="24" priority="35" stopIfTrue="1" operator="equal">
      <formula>0</formula>
    </cfRule>
  </conditionalFormatting>
  <conditionalFormatting sqref="G74">
    <cfRule type="cellIs" dxfId="23" priority="34" stopIfTrue="1" operator="equal">
      <formula>0</formula>
    </cfRule>
  </conditionalFormatting>
  <conditionalFormatting sqref="E80:E84">
    <cfRule type="cellIs" dxfId="22" priority="32" stopIfTrue="1" operator="equal">
      <formula>0</formula>
    </cfRule>
  </conditionalFormatting>
  <conditionalFormatting sqref="E85:E87">
    <cfRule type="cellIs" dxfId="21" priority="31" stopIfTrue="1" operator="equal">
      <formula>0</formula>
    </cfRule>
  </conditionalFormatting>
  <conditionalFormatting sqref="E88">
    <cfRule type="cellIs" dxfId="20" priority="30" stopIfTrue="1" operator="equal">
      <formula>0</formula>
    </cfRule>
  </conditionalFormatting>
  <conditionalFormatting sqref="E89">
    <cfRule type="cellIs" dxfId="19" priority="29" stopIfTrue="1" operator="equal">
      <formula>0</formula>
    </cfRule>
  </conditionalFormatting>
  <conditionalFormatting sqref="P104">
    <cfRule type="cellIs" dxfId="18" priority="22" stopIfTrue="1" operator="equal">
      <formula>0</formula>
    </cfRule>
  </conditionalFormatting>
  <conditionalFormatting sqref="E98:F98 E99:E100 E101:F103 P98:P103">
    <cfRule type="cellIs" dxfId="17" priority="26" stopIfTrue="1" operator="equal">
      <formula>0</formula>
    </cfRule>
  </conditionalFormatting>
  <conditionalFormatting sqref="F100">
    <cfRule type="cellIs" dxfId="16" priority="25" stopIfTrue="1" operator="equal">
      <formula>0</formula>
    </cfRule>
  </conditionalFormatting>
  <conditionalFormatting sqref="F99">
    <cfRule type="cellIs" dxfId="15" priority="24" stopIfTrue="1" operator="equal">
      <formula>0</formula>
    </cfRule>
  </conditionalFormatting>
  <conditionalFormatting sqref="E104">
    <cfRule type="cellIs" dxfId="14" priority="23" stopIfTrue="1" operator="equal">
      <formula>0</formula>
    </cfRule>
  </conditionalFormatting>
  <conditionalFormatting sqref="F105:F106">
    <cfRule type="cellIs" dxfId="13" priority="21" stopIfTrue="1" operator="equal">
      <formula>0</formula>
    </cfRule>
  </conditionalFormatting>
  <conditionalFormatting sqref="F107:F108">
    <cfRule type="cellIs" dxfId="12" priority="20" stopIfTrue="1" operator="equal">
      <formula>0</formula>
    </cfRule>
  </conditionalFormatting>
  <conditionalFormatting sqref="E105:E106">
    <cfRule type="cellIs" dxfId="11" priority="18" stopIfTrue="1" operator="equal">
      <formula>0</formula>
    </cfRule>
  </conditionalFormatting>
  <conditionalFormatting sqref="P105:P110 P113">
    <cfRule type="cellIs" dxfId="10" priority="16" stopIfTrue="1" operator="equal">
      <formula>0</formula>
    </cfRule>
  </conditionalFormatting>
  <conditionalFormatting sqref="F96:O96">
    <cfRule type="cellIs" dxfId="9" priority="15" stopIfTrue="1" operator="equal">
      <formula>0</formula>
    </cfRule>
  </conditionalFormatting>
  <conditionalFormatting sqref="F112:P112">
    <cfRule type="cellIs" dxfId="8" priority="14" stopIfTrue="1" operator="equal">
      <formula>0</formula>
    </cfRule>
  </conditionalFormatting>
  <conditionalFormatting sqref="F111:P111">
    <cfRule type="cellIs" dxfId="7" priority="13" stopIfTrue="1" operator="equal">
      <formula>0</formula>
    </cfRule>
  </conditionalFormatting>
  <conditionalFormatting sqref="E117:E118">
    <cfRule type="cellIs" dxfId="6" priority="12" stopIfTrue="1" operator="equal">
      <formula>0</formula>
    </cfRule>
  </conditionalFormatting>
  <conditionalFormatting sqref="F128:O128">
    <cfRule type="cellIs" dxfId="5" priority="11" stopIfTrue="1" operator="equal">
      <formula>0</formula>
    </cfRule>
  </conditionalFormatting>
  <conditionalFormatting sqref="P128">
    <cfRule type="cellIs" dxfId="4" priority="10" stopIfTrue="1" operator="equal">
      <formula>0</formula>
    </cfRule>
  </conditionalFormatting>
  <conditionalFormatting sqref="F13:P13">
    <cfRule type="cellIs" dxfId="3" priority="6" stopIfTrue="1" operator="equal">
      <formula>0</formula>
    </cfRule>
  </conditionalFormatting>
  <conditionalFormatting sqref="F29:F31">
    <cfRule type="cellIs" dxfId="2" priority="4" stopIfTrue="1" operator="equal">
      <formula>0</formula>
    </cfRule>
  </conditionalFormatting>
  <conditionalFormatting sqref="F62:O62">
    <cfRule type="cellIs" dxfId="1" priority="2" stopIfTrue="1" operator="equal">
      <formula>0</formula>
    </cfRule>
  </conditionalFormatting>
  <conditionalFormatting sqref="P62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9" fitToHeight="16" orientation="landscape" r:id="rId6"/>
  <headerFooter differentFirst="1" alignWithMargins="0">
    <oddHeader>&amp;C&amp;P&amp;R</oddHeader>
    <oddFooter>&amp;C</oddFooter>
  </headerFooter>
  <rowBreaks count="5" manualBreakCount="5">
    <brk id="29" max="15" man="1"/>
    <brk id="46" max="15" man="1"/>
    <brk id="72" max="15" man="1"/>
    <brk id="91" max="15" man="1"/>
    <brk id="10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2021-08-26T07:50:04Z</cp:lastPrinted>
  <dcterms:created xsi:type="dcterms:W3CDTF">2002-12-20T15:22:07Z</dcterms:created>
  <dcterms:modified xsi:type="dcterms:W3CDTF">2021-08-26T07:50:59Z</dcterms:modified>
</cp:coreProperties>
</file>